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mplaint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'Complaint Log'!$A$3:$S$103</definedName>
    <definedName name="_xlnm._FilterDatabase" localSheetId="2" hidden="1">'Assumptions'!$A$3:$B$10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3645F"/>
      <sz val="9"/>
    </font>
    <font>
      <name val="Calibri"/>
      <b val="1"/>
      <color rgb="00FFFFFF"/>
      <sz val="10"/>
    </font>
    <font>
      <name val="Calibri"/>
      <color rgb="001F2D2A"/>
      <sz val="10"/>
    </font>
    <font>
      <name val="Calibri"/>
      <b val="1"/>
      <color rgb="001F2D2A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vertical="top"/>
    </xf>
    <xf numFmtId="1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vertical="top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vertical="top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vertical="top" wrapText="1"/>
    </xf>
    <xf numFmtId="165" fontId="4" fillId="6" borderId="1" applyAlignment="1" pivotButton="0" quotePrefix="0" xfId="0">
      <alignment vertical="top"/>
    </xf>
    <xf numFmtId="1" fontId="4" fillId="4" borderId="1" applyAlignment="1" pivotButton="0" quotePrefix="0" xfId="0">
      <alignment vertical="top"/>
    </xf>
    <xf numFmtId="164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vertical="top"/>
    </xf>
    <xf numFmtId="164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Complaints by Category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'Summary'!H3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'Summary'!$G$4:$G$10</f>
            </numRef>
          </cat>
          <val>
            <numRef>
              <f>'Summary'!$H$4:$H$10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Complaints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" customWidth="1" min="3" max="3"/>
    <col width="19" customWidth="1" min="4" max="4"/>
    <col width="11" customWidth="1" min="5" max="5"/>
    <col width="3" customWidth="1" min="6" max="6"/>
    <col width="22" customWidth="1" min="7" max="7"/>
    <col width="11" customWidth="1" min="8" max="8"/>
  </cols>
  <sheetData>
    <row r="1" ht="30" customHeight="1">
      <c r="A1" s="1" t="inlineStr">
        <is>
          <t>Pet Complaint Resolution Log — Pinecone Pet Care (Fictional)</t>
        </is>
      </c>
    </row>
    <row r="2" ht="28" customHeight="1">
      <c r="A2" s="2" t="inlineStr">
        <is>
          <t>All sample clients, pets, workers, and events are fictional.</t>
        </is>
      </c>
      <c r="D2" s="2" t="inlineStr">
        <is>
          <t>Indicators use entered complaint data only.</t>
        </is>
      </c>
      <c r="G2" s="2" t="inlineStr">
        <is>
          <t>The as-of date is editable on Assumptions.</t>
        </is>
      </c>
    </row>
    <row r="3">
      <c r="A3" s="3" t="inlineStr">
        <is>
          <t>Indicator</t>
        </is>
      </c>
      <c r="B3" s="3" t="inlineStr">
        <is>
          <t>Value</t>
        </is>
      </c>
      <c r="D3" s="4" t="inlineStr">
        <is>
          <t>Status</t>
        </is>
      </c>
      <c r="E3" s="4" t="inlineStr">
        <is>
          <t>Count</t>
        </is>
      </c>
      <c r="G3" s="4" t="inlineStr">
        <is>
          <t>Category</t>
        </is>
      </c>
      <c r="H3" s="4" t="inlineStr">
        <is>
          <t>Count</t>
        </is>
      </c>
    </row>
    <row r="4">
      <c r="A4" s="5" t="inlineStr">
        <is>
          <t>As-of date</t>
        </is>
      </c>
      <c r="B4" s="6">
        <f>Assumptions!$K$4</f>
        <v/>
      </c>
      <c r="D4" s="7">
        <f>Assumptions!$D$4</f>
        <v/>
      </c>
      <c r="E4" s="8">
        <f>COUNTIF('Complaint Log'!$L$4:$L$103,D4)</f>
        <v/>
      </c>
      <c r="G4" s="7">
        <f>Assumptions!$A$4</f>
        <v/>
      </c>
      <c r="H4" s="8">
        <f>COUNTIF('Complaint Log'!$E$4:$E$103,G4)</f>
        <v/>
      </c>
    </row>
    <row r="5">
      <c r="A5" s="9" t="inlineStr">
        <is>
          <t>Total complaints</t>
        </is>
      </c>
      <c r="B5" s="10">
        <f>COUNTIF('Complaint Log'!$A$4:$A$103,"&lt;&gt;")</f>
        <v/>
      </c>
      <c r="D5" s="11">
        <f>Assumptions!$D$5</f>
        <v/>
      </c>
      <c r="E5" s="10">
        <f>COUNTIF('Complaint Log'!$L$4:$L$103,D5)</f>
        <v/>
      </c>
      <c r="G5" s="11">
        <f>Assumptions!$A$5</f>
        <v/>
      </c>
      <c r="H5" s="10">
        <f>COUNTIF('Complaint Log'!$E$4:$E$103,G5)</f>
        <v/>
      </c>
    </row>
    <row r="6">
      <c r="A6" s="5" t="inlineStr">
        <is>
          <t>Open complaints</t>
        </is>
      </c>
      <c r="B6" s="8">
        <f>COUNTIFS('Complaint Log'!$A$4:$A$103,"&lt;&gt;",'Complaint Log'!$L$4:$L$103,"&lt;&gt;Closed")</f>
        <v/>
      </c>
      <c r="D6" s="7">
        <f>Assumptions!$D$6</f>
        <v/>
      </c>
      <c r="E6" s="8">
        <f>COUNTIF('Complaint Log'!$L$4:$L$103,D6)</f>
        <v/>
      </c>
      <c r="G6" s="7">
        <f>Assumptions!$A$6</f>
        <v/>
      </c>
      <c r="H6" s="8">
        <f>COUNTIF('Complaint Log'!$E$4:$E$103,G6)</f>
        <v/>
      </c>
    </row>
    <row r="7">
      <c r="A7" s="9" t="inlineStr">
        <is>
          <t>Closed complaints</t>
        </is>
      </c>
      <c r="B7" s="10">
        <f>COUNTIF('Complaint Log'!$L$4:$L$103,"Closed")</f>
        <v/>
      </c>
      <c r="D7" s="11">
        <f>Assumptions!$D$7</f>
        <v/>
      </c>
      <c r="E7" s="10">
        <f>COUNTIF('Complaint Log'!$L$4:$L$103,D7)</f>
        <v/>
      </c>
      <c r="G7" s="11">
        <f>Assumptions!$A$7</f>
        <v/>
      </c>
      <c r="H7" s="10">
        <f>COUNTIF('Complaint Log'!$E$4:$E$103,G7)</f>
        <v/>
      </c>
    </row>
    <row r="8">
      <c r="A8" s="5" t="inlineStr">
        <is>
          <t>Overdue open complaints</t>
        </is>
      </c>
      <c r="B8" s="8">
        <f>COUNTIF('Complaint Log'!$Q$4:$Q$103,"OVERDUE — HUMAN CHECK")</f>
        <v/>
      </c>
      <c r="G8" s="7">
        <f>Assumptions!$A$8</f>
        <v/>
      </c>
      <c r="H8" s="8">
        <f>COUNTIF('Complaint Log'!$E$4:$E$103,G8)</f>
        <v/>
      </c>
    </row>
    <row r="9">
      <c r="A9" s="9" t="inlineStr">
        <is>
          <t>Follow-up marked Yes</t>
        </is>
      </c>
      <c r="B9" s="10">
        <f>COUNTIFS('Complaint Log'!$A$4:$A$103,"&lt;&gt;",'Complaint Log'!$R$4:$R$103,"Yes")</f>
        <v/>
      </c>
      <c r="G9" s="11">
        <f>Assumptions!$A$9</f>
        <v/>
      </c>
      <c r="H9" s="10">
        <f>COUNTIF('Complaint Log'!$E$4:$E$103,G9)</f>
        <v/>
      </c>
    </row>
    <row r="10">
      <c r="A10" s="5" t="inlineStr">
        <is>
          <t>Total remedy amount</t>
        </is>
      </c>
      <c r="B10" s="12">
        <f>SUM('Complaint Log'!$K$4:$K$103)</f>
        <v/>
      </c>
      <c r="G10" s="7">
        <f>Assumptions!$A$10</f>
        <v/>
      </c>
      <c r="H10" s="8">
        <f>COUNTIF('Complaint Log'!$E$4:$E$103,G10)</f>
        <v/>
      </c>
    </row>
    <row r="11">
      <c r="A11" s="9" t="inlineStr">
        <is>
          <t>Average closed resolution days</t>
        </is>
      </c>
      <c r="B11" s="13">
        <f>IFERROR(AVERAGEIF('Complaint Log'!$L$4:$L$103,"Closed",'Complaint Log'!$P$4:$P$103),"")</f>
        <v/>
      </c>
    </row>
    <row r="12">
      <c r="A12" s="5" t="inlineStr">
        <is>
          <t>Records needing a check</t>
        </is>
      </c>
      <c r="B12" s="8">
        <f>COUNTIF('Complaint Log'!$Q$4:$Q$103,"CHECK*")</f>
        <v/>
      </c>
    </row>
    <row r="13">
      <c r="A13" s="9" t="inlineStr">
        <is>
          <t>Closed within target</t>
        </is>
      </c>
      <c r="B13" s="10">
        <f>COUNTIF('Complaint Log'!$Q$4:$Q$103,"Closed within target")</f>
        <v/>
      </c>
    </row>
  </sheetData>
  <mergeCells count="1">
    <mergeCell ref="A1:H1"/>
  </mergeCells>
  <conditionalFormatting sqref="B8">
    <cfRule type="expression" priority="1" dxfId="0">
      <formula>B8&gt;0</formula>
    </cfRule>
  </conditionalFormatting>
  <conditionalFormatting sqref="B12">
    <cfRule type="expression" priority="2" dxfId="0">
      <formula>B12&gt;0</formula>
    </cfRule>
  </conditionalFormatting>
  <conditionalFormatting sqref="B13">
    <cfRule type="expression" priority="3" dxfId="1">
      <formula>B13&gt;0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8" customWidth="1" min="3" max="3"/>
    <col width="23" customWidth="1" min="4" max="4"/>
    <col width="20" customWidth="1" min="5" max="5"/>
    <col width="38" customWidth="1" min="6" max="6"/>
    <col width="25" customWidth="1" min="7" max="7"/>
    <col width="16" customWidth="1" min="8" max="8"/>
    <col width="38" customWidth="1" min="9" max="9"/>
    <col width="35" customWidth="1" min="10" max="10"/>
    <col width="15" customWidth="1" min="11" max="11"/>
    <col width="16" customWidth="1" min="12" max="12"/>
    <col width="16" customWidth="1" min="13" max="13"/>
    <col width="14" customWidth="1" min="14" max="14"/>
    <col width="14" customWidth="1" min="15" max="15"/>
    <col width="18" customWidth="1" min="16" max="16"/>
    <col width="25" customWidth="1" min="17" max="17"/>
    <col width="17" customWidth="1" min="18" max="18"/>
    <col width="35" customWidth="1" min="19" max="19"/>
  </cols>
  <sheetData>
    <row r="1" ht="30" customHeight="1">
      <c r="A1" s="1" t="inlineStr">
        <is>
          <t>Pet Complaint Resolution Log — Working Records</t>
        </is>
      </c>
    </row>
    <row r="2" ht="28" customHeight="1">
      <c r="A2" s="2" t="inlineStr">
        <is>
          <t>Yellow cells are editable.</t>
        </is>
      </c>
      <c r="F2" s="2" t="inlineStr">
        <is>
          <t>Timing alerts require human review.</t>
        </is>
      </c>
      <c r="L2" s="2" t="inlineStr">
        <is>
          <t>All sample records are fictional.</t>
        </is>
      </c>
    </row>
    <row r="3" ht="42" customHeight="1">
      <c r="A3" s="3" t="inlineStr">
        <is>
          <t>Complaint ID</t>
        </is>
      </c>
      <c r="B3" s="3" t="inlineStr">
        <is>
          <t>Date Received</t>
        </is>
      </c>
      <c r="C3" s="3" t="inlineStr">
        <is>
          <t>Client Reference</t>
        </is>
      </c>
      <c r="D3" s="3" t="inlineStr">
        <is>
          <t>Pet</t>
        </is>
      </c>
      <c r="E3" s="3" t="inlineStr">
        <is>
          <t>Complaint Category</t>
        </is>
      </c>
      <c r="F3" s="3" t="inlineStr">
        <is>
          <t>Facts Reported</t>
        </is>
      </c>
      <c r="G3" s="3" t="inlineStr">
        <is>
          <t>Assigned Complaint Owner</t>
        </is>
      </c>
      <c r="H3" s="3" t="inlineStr">
        <is>
          <t>First Response Date</t>
        </is>
      </c>
      <c r="I3" s="3" t="inlineStr">
        <is>
          <t>Response Summary</t>
        </is>
      </c>
      <c r="J3" s="3" t="inlineStr">
        <is>
          <t>Remedy or Action</t>
        </is>
      </c>
      <c r="K3" s="3" t="inlineStr">
        <is>
          <t>Remedy Amount</t>
        </is>
      </c>
      <c r="L3" s="3" t="inlineStr">
        <is>
          <t>Status</t>
        </is>
      </c>
      <c r="M3" s="3" t="inlineStr">
        <is>
          <t>Target Calendar Days</t>
        </is>
      </c>
      <c r="N3" s="3" t="inlineStr">
        <is>
          <t>Target Date</t>
        </is>
      </c>
      <c r="O3" s="3" t="inlineStr">
        <is>
          <t>Closure Date</t>
        </is>
      </c>
      <c r="P3" s="3" t="inlineStr">
        <is>
          <t>Resolution or Open Days</t>
        </is>
      </c>
      <c r="Q3" s="3" t="inlineStr">
        <is>
          <t>Timing Check</t>
        </is>
      </c>
      <c r="R3" s="3" t="inlineStr">
        <is>
          <t>Follow-Up Needed?</t>
        </is>
      </c>
      <c r="S3" s="3" t="inlineStr">
        <is>
          <t>Follow-Up Note</t>
        </is>
      </c>
    </row>
    <row r="4" ht="44" customHeight="1">
      <c r="A4" s="14" t="inlineStr">
        <is>
          <t>CMP-2026-001</t>
        </is>
      </c>
      <c r="B4" s="15" t="n">
        <v>46259</v>
      </c>
      <c r="C4" s="14" t="inlineStr">
        <is>
          <t>FIC-CLIENT-001</t>
        </is>
      </c>
      <c r="D4" s="14" t="inlineStr">
        <is>
          <t>Maple (Fictional Pet)</t>
        </is>
      </c>
      <c r="E4" s="14" t="inlineStr">
        <is>
          <t>Service quality</t>
        </is>
      </c>
      <c r="F4" s="16" t="inlineStr">
        <is>
          <t>Client reported an uneven coat trim after a grooming visit.</t>
        </is>
      </c>
      <c r="G4" s="14" t="inlineStr">
        <is>
          <t>Fictional Manager A</t>
        </is>
      </c>
      <c r="H4" s="15" t="n">
        <v>46259</v>
      </c>
      <c r="I4" s="16" t="inlineStr">
        <is>
          <t>Reviewed the service notes and discussed the concern with the client.</t>
        </is>
      </c>
      <c r="J4" s="16" t="inlineStr">
        <is>
          <t>Complimentary touch-up was offered.</t>
        </is>
      </c>
      <c r="K4" s="17" t="n">
        <v>0</v>
      </c>
      <c r="L4" s="14" t="inlineStr">
        <is>
          <t>Closed</t>
        </is>
      </c>
      <c r="M4" s="18">
        <f>IF($A4="","",IF($E4="","",IFERROR(VLOOKUP($E4,Assumptions!$A$4:$B$10,2,FALSE),"")))</f>
        <v/>
      </c>
      <c r="N4" s="19">
        <f>IF(OR($A4="",$B4="",$M4=""),"",IFERROR($B4+$M4,""))</f>
        <v/>
      </c>
      <c r="O4" s="15" t="n">
        <v>46260</v>
      </c>
      <c r="P4" s="18">
        <f>IF($A4="","",IF(OR($B4="",$L4=""),"",IFERROR(IF($L4="Closed",IF($O4="","",MAX(0,$O4-$B4)),IF(Assumptions!$K$4="","",MAX(0,Assumptions!$K$4-$B4))),"")))</f>
        <v/>
      </c>
      <c r="Q4" s="20">
        <f>IF($A4="","",IF(OR($B4="",$E4="",$G4="",$L4="",$M4="",$N4=""),"CHECK REQUIRED",IF(COUNTIF(Assumptions!$D$4:$D$7,$L4)=0,"CHECK STATUS",IF(Assumptions!$K$4="","CHECK AS-OF DATE",IFERROR(IF(OR($B4&gt;Assumptions!$K$4,AND($H4&lt;&gt;"",OR($H4&lt;$B4,$H4&gt;Assumptions!$K$4))),"CHECK DATES",IF($L4="Closed",IF($O4="","CHECK CLOSURE DATE",IF(OR($O4&lt;$B4,$O4&gt;Assumptions!$K$4),"CHECK DATES",IF($O4&lt;=$N4,"Closed within target","Closed past target"))),IF($O4&lt;&gt;"","CHECK CLOSURE STATUS",IF($N4&lt;Assumptions!$K$4,"OVERDUE — HUMAN CHECK","Open within target")))),"CHECK DATES")))))</f>
        <v/>
      </c>
      <c r="R4" s="14" t="inlineStr">
        <is>
          <t>No</t>
        </is>
      </c>
      <c r="S4" s="16" t="inlineStr"/>
    </row>
    <row r="5" ht="44" customHeight="1">
      <c r="A5" s="14" t="inlineStr">
        <is>
          <t>CMP-2026-002</t>
        </is>
      </c>
      <c r="B5" s="15" t="n">
        <v>46262</v>
      </c>
      <c r="C5" s="14" t="inlineStr">
        <is>
          <t>FIC-CLIENT-002</t>
        </is>
      </c>
      <c r="D5" s="14" t="inlineStr">
        <is>
          <t>Juniper (Fictional Pet)</t>
        </is>
      </c>
      <c r="E5" s="14" t="inlineStr">
        <is>
          <t>Billing</t>
        </is>
      </c>
      <c r="F5" s="16" t="inlineStr">
        <is>
          <t>Client questioned an extra brushing charge shown on the visit receipt.</t>
        </is>
      </c>
      <c r="G5" s="14" t="inlineStr">
        <is>
          <t>Fictional Manager A</t>
        </is>
      </c>
      <c r="H5" s="15" t="n">
        <v>46263</v>
      </c>
      <c r="I5" s="16" t="inlineStr">
        <is>
          <t>Explained the recorded service and requested a manager review.</t>
        </is>
      </c>
      <c r="J5" s="16" t="inlineStr">
        <is>
          <t>Proposed partial refund pending client confirmation.</t>
        </is>
      </c>
      <c r="K5" s="17" t="n">
        <v>18</v>
      </c>
      <c r="L5" s="14" t="inlineStr">
        <is>
          <t>Response Sent</t>
        </is>
      </c>
      <c r="M5" s="21">
        <f>IF($A5="","",IF($E5="","",IFERROR(VLOOKUP($E5,Assumptions!$A$4:$B$10,2,FALSE),"")))</f>
        <v/>
      </c>
      <c r="N5" s="22">
        <f>IF(OR($A5="",$B5="",$M5=""),"",IFERROR($B5+$M5,""))</f>
        <v/>
      </c>
      <c r="O5" s="15" t="n"/>
      <c r="P5" s="21">
        <f>IF($A5="","",IF(OR($B5="",$L5=""),"",IFERROR(IF($L5="Closed",IF($O5="","",MAX(0,$O5-$B5)),IF(Assumptions!$K$4="","",MAX(0,Assumptions!$K$4-$B5))),"")))</f>
        <v/>
      </c>
      <c r="Q5" s="23">
        <f>IF($A5="","",IF(OR($B5="",$E5="",$G5="",$L5="",$M5="",$N5=""),"CHECK REQUIRED",IF(COUNTIF(Assumptions!$D$4:$D$7,$L5)=0,"CHECK STATUS",IF(Assumptions!$K$4="","CHECK AS-OF DATE",IFERROR(IF(OR($B5&gt;Assumptions!$K$4,AND($H5&lt;&gt;"",OR($H5&lt;$B5,$H5&gt;Assumptions!$K$4))),"CHECK DATES",IF($L5="Closed",IF($O5="","CHECK CLOSURE DATE",IF(OR($O5&lt;$B5,$O5&gt;Assumptions!$K$4),"CHECK DATES",IF($O5&lt;=$N5,"Closed within target","Closed past target"))),IF($O5&lt;&gt;"","CHECK CLOSURE STATUS",IF($N5&lt;Assumptions!$K$4,"OVERDUE — HUMAN CHECK","Open within target")))),"CHECK DATES")))))</f>
        <v/>
      </c>
      <c r="R5" s="14" t="inlineStr">
        <is>
          <t>Yes</t>
        </is>
      </c>
      <c r="S5" s="16" t="inlineStr">
        <is>
          <t>Confirm whether the client accepts the proposed refund.</t>
        </is>
      </c>
    </row>
    <row r="6" ht="44" customHeight="1">
      <c r="A6" s="14" t="inlineStr">
        <is>
          <t>CMP-2026-003</t>
        </is>
      </c>
      <c r="B6" s="15" t="n">
        <v>46266</v>
      </c>
      <c r="C6" s="14" t="inlineStr">
        <is>
          <t>FIC-CLIENT-003</t>
        </is>
      </c>
      <c r="D6" s="14" t="inlineStr">
        <is>
          <t>Orbit (Fictional Pet)</t>
        </is>
      </c>
      <c r="E6" s="14" t="inlineStr">
        <is>
          <t>Scheduling</t>
        </is>
      </c>
      <c r="F6" s="16" t="inlineStr">
        <is>
          <t>Client reported that a requested pickup window was recorded incorrectly.</t>
        </is>
      </c>
      <c r="G6" s="14" t="inlineStr">
        <is>
          <t>Fictional Service Lead B</t>
        </is>
      </c>
      <c r="H6" s="15" t="n">
        <v>46266</v>
      </c>
      <c r="I6" s="16" t="inlineStr">
        <is>
          <t>Compared the request with the appointment notes.</t>
        </is>
      </c>
      <c r="J6" s="16" t="inlineStr">
        <is>
          <t>Corrected the future pickup preference in the local record.</t>
        </is>
      </c>
      <c r="K6" s="17" t="n">
        <v>0</v>
      </c>
      <c r="L6" s="14" t="inlineStr">
        <is>
          <t>Closed</t>
        </is>
      </c>
      <c r="M6" s="18">
        <f>IF($A6="","",IF($E6="","",IFERROR(VLOOKUP($E6,Assumptions!$A$4:$B$10,2,FALSE),"")))</f>
        <v/>
      </c>
      <c r="N6" s="19">
        <f>IF(OR($A6="",$B6="",$M6=""),"",IFERROR($B6+$M6,""))</f>
        <v/>
      </c>
      <c r="O6" s="15" t="n">
        <v>46267</v>
      </c>
      <c r="P6" s="18">
        <f>IF($A6="","",IF(OR($B6="",$L6=""),"",IFERROR(IF($L6="Closed",IF($O6="","",MAX(0,$O6-$B6)),IF(Assumptions!$K$4="","",MAX(0,Assumptions!$K$4-$B6))),"")))</f>
        <v/>
      </c>
      <c r="Q6" s="20">
        <f>IF($A6="","",IF(OR($B6="",$E6="",$G6="",$L6="",$M6="",$N6=""),"CHECK REQUIRED",IF(COUNTIF(Assumptions!$D$4:$D$7,$L6)=0,"CHECK STATUS",IF(Assumptions!$K$4="","CHECK AS-OF DATE",IFERROR(IF(OR($B6&gt;Assumptions!$K$4,AND($H6&lt;&gt;"",OR($H6&lt;$B6,$H6&gt;Assumptions!$K$4))),"CHECK DATES",IF($L6="Closed",IF($O6="","CHECK CLOSURE DATE",IF(OR($O6&lt;$B6,$O6&gt;Assumptions!$K$4),"CHECK DATES",IF($O6&lt;=$N6,"Closed within target","Closed past target"))),IF($O6&lt;&gt;"","CHECK CLOSURE STATUS",IF($N6&lt;Assumptions!$K$4,"OVERDUE — HUMAN CHECK","Open within target")))),"CHECK DATES")))))</f>
        <v/>
      </c>
      <c r="R6" s="14" t="inlineStr">
        <is>
          <t>No</t>
        </is>
      </c>
      <c r="S6" s="16" t="inlineStr"/>
    </row>
    <row r="7" ht="44" customHeight="1">
      <c r="A7" s="14" t="inlineStr">
        <is>
          <t>CMP-2026-004</t>
        </is>
      </c>
      <c r="B7" s="15" t="n">
        <v>46268</v>
      </c>
      <c r="C7" s="14" t="inlineStr">
        <is>
          <t>FIC-CLIENT-004</t>
        </is>
      </c>
      <c r="D7" s="14" t="inlineStr">
        <is>
          <t>Clover (Fictional Pet)</t>
        </is>
      </c>
      <c r="E7" s="14" t="inlineStr">
        <is>
          <t>Staff interaction</t>
        </is>
      </c>
      <c r="F7" s="16" t="inlineStr">
        <is>
          <t>Client reported that a front-desk explanation felt rushed.</t>
        </is>
      </c>
      <c r="G7" s="14" t="inlineStr">
        <is>
          <t>Fictional Manager A</t>
        </is>
      </c>
      <c r="H7" s="15" t="n">
        <v>46268</v>
      </c>
      <c r="I7" s="16" t="inlineStr">
        <is>
          <t>Acknowledged the concern and began reviewing the interaction.</t>
        </is>
      </c>
      <c r="J7" s="16" t="inlineStr">
        <is>
          <t>Manager conversation with the client is pending.</t>
        </is>
      </c>
      <c r="K7" s="17" t="n"/>
      <c r="L7" s="14" t="inlineStr">
        <is>
          <t>Reviewing</t>
        </is>
      </c>
      <c r="M7" s="21">
        <f>IF($A7="","",IF($E7="","",IFERROR(VLOOKUP($E7,Assumptions!$A$4:$B$10,2,FALSE),"")))</f>
        <v/>
      </c>
      <c r="N7" s="22">
        <f>IF(OR($A7="",$B7="",$M7=""),"",IFERROR($B7+$M7,""))</f>
        <v/>
      </c>
      <c r="O7" s="15" t="n"/>
      <c r="P7" s="21">
        <f>IF($A7="","",IF(OR($B7="",$L7=""),"",IFERROR(IF($L7="Closed",IF($O7="","",MAX(0,$O7-$B7)),IF(Assumptions!$K$4="","",MAX(0,Assumptions!$K$4-$B7))),"")))</f>
        <v/>
      </c>
      <c r="Q7" s="23">
        <f>IF($A7="","",IF(OR($B7="",$E7="",$G7="",$L7="",$M7="",$N7=""),"CHECK REQUIRED",IF(COUNTIF(Assumptions!$D$4:$D$7,$L7)=0,"CHECK STATUS",IF(Assumptions!$K$4="","CHECK AS-OF DATE",IFERROR(IF(OR($B7&gt;Assumptions!$K$4,AND($H7&lt;&gt;"",OR($H7&lt;$B7,$H7&gt;Assumptions!$K$4))),"CHECK DATES",IF($L7="Closed",IF($O7="","CHECK CLOSURE DATE",IF(OR($O7&lt;$B7,$O7&gt;Assumptions!$K$4),"CHECK DATES",IF($O7&lt;=$N7,"Closed within target","Closed past target"))),IF($O7&lt;&gt;"","CHECK CLOSURE STATUS",IF($N7&lt;Assumptions!$K$4,"OVERDUE — HUMAN CHECK","Open within target")))),"CHECK DATES")))))</f>
        <v/>
      </c>
      <c r="R7" s="14" t="inlineStr">
        <is>
          <t>Yes</t>
        </is>
      </c>
      <c r="S7" s="16" t="inlineStr">
        <is>
          <t>Manager should complete the conversation and record the outcome.</t>
        </is>
      </c>
    </row>
    <row r="8" ht="44" customHeight="1">
      <c r="A8" s="14" t="inlineStr">
        <is>
          <t>CMP-2026-005</t>
        </is>
      </c>
      <c r="B8" s="15" t="n">
        <v>46269</v>
      </c>
      <c r="C8" s="14" t="inlineStr">
        <is>
          <t>FIC-CLIENT-005</t>
        </is>
      </c>
      <c r="D8" s="14" t="inlineStr">
        <is>
          <t>Pebble (Fictional Pet)</t>
        </is>
      </c>
      <c r="E8" s="14" t="inlineStr">
        <is>
          <t>Facility</t>
        </is>
      </c>
      <c r="F8" s="16" t="inlineStr">
        <is>
          <t>Client reported that the daycare lobby waiting area was untidy at pickup.</t>
        </is>
      </c>
      <c r="G8" s="14" t="inlineStr">
        <is>
          <t>Fictional Care Lead C</t>
        </is>
      </c>
      <c r="H8" s="15" t="n">
        <v>46269</v>
      </c>
      <c r="I8" s="16" t="inlineStr">
        <is>
          <t>Thanked the client and reviewed the lobby closing checklist.</t>
        </is>
      </c>
      <c r="J8" s="16" t="inlineStr">
        <is>
          <t>Adjusted the lobby check assignment for the next shift.</t>
        </is>
      </c>
      <c r="K8" s="17" t="n">
        <v>0</v>
      </c>
      <c r="L8" s="14" t="inlineStr">
        <is>
          <t>Closed</t>
        </is>
      </c>
      <c r="M8" s="18">
        <f>IF($A8="","",IF($E8="","",IFERROR(VLOOKUP($E8,Assumptions!$A$4:$B$10,2,FALSE),"")))</f>
        <v/>
      </c>
      <c r="N8" s="19">
        <f>IF(OR($A8="",$B8="",$M8=""),"",IFERROR($B8+$M8,""))</f>
        <v/>
      </c>
      <c r="O8" s="15" t="n">
        <v>46271</v>
      </c>
      <c r="P8" s="18">
        <f>IF($A8="","",IF(OR($B8="",$L8=""),"",IFERROR(IF($L8="Closed",IF($O8="","",MAX(0,$O8-$B8)),IF(Assumptions!$K$4="","",MAX(0,Assumptions!$K$4-$B8))),"")))</f>
        <v/>
      </c>
      <c r="Q8" s="20">
        <f>IF($A8="","",IF(OR($B8="",$E8="",$G8="",$L8="",$M8="",$N8=""),"CHECK REQUIRED",IF(COUNTIF(Assumptions!$D$4:$D$7,$L8)=0,"CHECK STATUS",IF(Assumptions!$K$4="","CHECK AS-OF DATE",IFERROR(IF(OR($B8&gt;Assumptions!$K$4,AND($H8&lt;&gt;"",OR($H8&lt;$B8,$H8&gt;Assumptions!$K$4))),"CHECK DATES",IF($L8="Closed",IF($O8="","CHECK CLOSURE DATE",IF(OR($O8&lt;$B8,$O8&gt;Assumptions!$K$4),"CHECK DATES",IF($O8&lt;=$N8,"Closed within target","Closed past target"))),IF($O8&lt;&gt;"","CHECK CLOSURE STATUS",IF($N8&lt;Assumptions!$K$4,"OVERDUE — HUMAN CHECK","Open within target")))),"CHECK DATES")))))</f>
        <v/>
      </c>
      <c r="R8" s="14" t="inlineStr">
        <is>
          <t>No</t>
        </is>
      </c>
      <c r="S8" s="16" t="inlineStr"/>
    </row>
    <row r="9" ht="44" customHeight="1">
      <c r="A9" s="14" t="inlineStr">
        <is>
          <t>CMP-2026-006</t>
        </is>
      </c>
      <c r="B9" s="15" t="n">
        <v>46270</v>
      </c>
      <c r="C9" s="14" t="inlineStr">
        <is>
          <t>FIC-CLIENT-006</t>
        </is>
      </c>
      <c r="D9" s="14" t="inlineStr">
        <is>
          <t>Mica (Fictional Pet)</t>
        </is>
      </c>
      <c r="E9" s="14" t="inlineStr">
        <is>
          <t>Pet care concern</t>
        </is>
      </c>
      <c r="F9" s="16" t="inlineStr">
        <is>
          <t>Client reported that the daycare pickup note did not mention a skipped meal.</t>
        </is>
      </c>
      <c r="G9" s="14" t="inlineStr">
        <is>
          <t>Fictional Care Lead C</t>
        </is>
      </c>
      <c r="H9" s="15" t="n">
        <v>46270</v>
      </c>
      <c r="I9" s="16" t="inlineStr">
        <is>
          <t>Reviewed the owner-supplied care note and the administrative visit log.</t>
        </is>
      </c>
      <c r="J9" s="16" t="inlineStr">
        <is>
          <t>Provided a corrected visit summary and reviewed note-taking steps.</t>
        </is>
      </c>
      <c r="K9" s="17" t="n">
        <v>0</v>
      </c>
      <c r="L9" s="14" t="inlineStr">
        <is>
          <t>Closed</t>
        </is>
      </c>
      <c r="M9" s="21">
        <f>IF($A9="","",IF($E9="","",IFERROR(VLOOKUP($E9,Assumptions!$A$4:$B$10,2,FALSE),"")))</f>
        <v/>
      </c>
      <c r="N9" s="22">
        <f>IF(OR($A9="",$B9="",$M9=""),"",IFERROR($B9+$M9,""))</f>
        <v/>
      </c>
      <c r="O9" s="15" t="n">
        <v>46271</v>
      </c>
      <c r="P9" s="21">
        <f>IF($A9="","",IF(OR($B9="",$L9=""),"",IFERROR(IF($L9="Closed",IF($O9="","",MAX(0,$O9-$B9)),IF(Assumptions!$K$4="","",MAX(0,Assumptions!$K$4-$B9))),"")))</f>
        <v/>
      </c>
      <c r="Q9" s="23">
        <f>IF($A9="","",IF(OR($B9="",$E9="",$G9="",$L9="",$M9="",$N9=""),"CHECK REQUIRED",IF(COUNTIF(Assumptions!$D$4:$D$7,$L9)=0,"CHECK STATUS",IF(Assumptions!$K$4="","CHECK AS-OF DATE",IFERROR(IF(OR($B9&gt;Assumptions!$K$4,AND($H9&lt;&gt;"",OR($H9&lt;$B9,$H9&gt;Assumptions!$K$4))),"CHECK DATES",IF($L9="Closed",IF($O9="","CHECK CLOSURE DATE",IF(OR($O9&lt;$B9,$O9&gt;Assumptions!$K$4),"CHECK DATES",IF($O9&lt;=$N9,"Closed within target","Closed past target"))),IF($O9&lt;&gt;"","CHECK CLOSURE STATUS",IF($N9&lt;Assumptions!$K$4,"OVERDUE — HUMAN CHECK","Open within target")))),"CHECK DATES")))))</f>
        <v/>
      </c>
      <c r="R9" s="14" t="inlineStr">
        <is>
          <t>Yes</t>
        </is>
      </c>
      <c r="S9" s="16" t="inlineStr">
        <is>
          <t>Confirm that the corrected visit summary was received.</t>
        </is>
      </c>
    </row>
    <row r="10" ht="44" customHeight="1">
      <c r="A10" s="14" t="inlineStr">
        <is>
          <t>CMP-2026-007</t>
        </is>
      </c>
      <c r="B10" s="15" t="n">
        <v>46271</v>
      </c>
      <c r="C10" s="14" t="inlineStr">
        <is>
          <t>FIC-CLIENT-007</t>
        </is>
      </c>
      <c r="D10" s="14" t="inlineStr">
        <is>
          <t>Tango (Fictional Pet)</t>
        </is>
      </c>
      <c r="E10" s="14" t="inlineStr">
        <is>
          <t>Service quality</t>
        </is>
      </c>
      <c r="F10" s="16" t="inlineStr">
        <is>
          <t>Client reported that a requested nail smoothing step appeared incomplete.</t>
        </is>
      </c>
      <c r="G10" s="14" t="inlineStr">
        <is>
          <t>Fictional Service Lead B</t>
        </is>
      </c>
      <c r="H10" s="15" t="n">
        <v>46272</v>
      </c>
      <c r="I10" s="16" t="inlineStr">
        <is>
          <t>Reviewed the service record and sent available remedy options.</t>
        </is>
      </c>
      <c r="J10" s="16" t="inlineStr">
        <is>
          <t>Complimentary correction visit was offered.</t>
        </is>
      </c>
      <c r="K10" s="17" t="n">
        <v>0</v>
      </c>
      <c r="L10" s="14" t="inlineStr">
        <is>
          <t>Response Sent</t>
        </is>
      </c>
      <c r="M10" s="18">
        <f>IF($A10="","",IF($E10="","",IFERROR(VLOOKUP($E10,Assumptions!$A$4:$B$10,2,FALSE),"")))</f>
        <v/>
      </c>
      <c r="N10" s="19">
        <f>IF(OR($A10="",$B10="",$M10=""),"",IFERROR($B10+$M10,""))</f>
        <v/>
      </c>
      <c r="O10" s="15" t="n"/>
      <c r="P10" s="18">
        <f>IF($A10="","",IF(OR($B10="",$L10=""),"",IFERROR(IF($L10="Closed",IF($O10="","",MAX(0,$O10-$B10)),IF(Assumptions!$K$4="","",MAX(0,Assumptions!$K$4-$B10))),"")))</f>
        <v/>
      </c>
      <c r="Q10" s="20">
        <f>IF($A10="","",IF(OR($B10="",$E10="",$G10="",$L10="",$M10="",$N10=""),"CHECK REQUIRED",IF(COUNTIF(Assumptions!$D$4:$D$7,$L10)=0,"CHECK STATUS",IF(Assumptions!$K$4="","CHECK AS-OF DATE",IFERROR(IF(OR($B10&gt;Assumptions!$K$4,AND($H10&lt;&gt;"",OR($H10&lt;$B10,$H10&gt;Assumptions!$K$4))),"CHECK DATES",IF($L10="Closed",IF($O10="","CHECK CLOSURE DATE",IF(OR($O10&lt;$B10,$O10&gt;Assumptions!$K$4),"CHECK DATES",IF($O10&lt;=$N10,"Closed within target","Closed past target"))),IF($O10&lt;&gt;"","CHECK CLOSURE STATUS",IF($N10&lt;Assumptions!$K$4,"OVERDUE — HUMAN CHECK","Open within target")))),"CHECK DATES")))))</f>
        <v/>
      </c>
      <c r="R10" s="14" t="inlineStr">
        <is>
          <t>Yes</t>
        </is>
      </c>
      <c r="S10" s="16" t="inlineStr">
        <is>
          <t>Wait for the client's preferred correction appointment.</t>
        </is>
      </c>
    </row>
    <row r="11" ht="44" customHeight="1">
      <c r="A11" s="14" t="inlineStr">
        <is>
          <t>CMP-2026-008</t>
        </is>
      </c>
      <c r="B11" s="15" t="n">
        <v>46272</v>
      </c>
      <c r="C11" s="14" t="inlineStr">
        <is>
          <t>FIC-CLIENT-008</t>
        </is>
      </c>
      <c r="D11" s="14" t="inlineStr">
        <is>
          <t>Saffron (Fictional Pet)</t>
        </is>
      </c>
      <c r="E11" s="14" t="inlineStr">
        <is>
          <t>Other</t>
        </is>
      </c>
      <c r="F11" s="16" t="inlineStr">
        <is>
          <t>Client requested clarification about where pickup belongings were placed.</t>
        </is>
      </c>
      <c r="G11" s="14" t="inlineStr">
        <is>
          <t>Fictional Care Lead C</t>
        </is>
      </c>
      <c r="H11" s="15" t="n"/>
      <c r="I11" s="16" t="inlineStr"/>
      <c r="J11" s="16" t="inlineStr"/>
      <c r="K11" s="17" t="n"/>
      <c r="L11" s="14" t="inlineStr">
        <is>
          <t>New</t>
        </is>
      </c>
      <c r="M11" s="21">
        <f>IF($A11="","",IF($E11="","",IFERROR(VLOOKUP($E11,Assumptions!$A$4:$B$10,2,FALSE),"")))</f>
        <v/>
      </c>
      <c r="N11" s="22">
        <f>IF(OR($A11="",$B11="",$M11=""),"",IFERROR($B11+$M11,""))</f>
        <v/>
      </c>
      <c r="O11" s="15" t="n"/>
      <c r="P11" s="21">
        <f>IF($A11="","",IF(OR($B11="",$L11=""),"",IFERROR(IF($L11="Closed",IF($O11="","",MAX(0,$O11-$B11)),IF(Assumptions!$K$4="","",MAX(0,Assumptions!$K$4-$B11))),"")))</f>
        <v/>
      </c>
      <c r="Q11" s="23">
        <f>IF($A11="","",IF(OR($B11="",$E11="",$G11="",$L11="",$M11="",$N11=""),"CHECK REQUIRED",IF(COUNTIF(Assumptions!$D$4:$D$7,$L11)=0,"CHECK STATUS",IF(Assumptions!$K$4="","CHECK AS-OF DATE",IFERROR(IF(OR($B11&gt;Assumptions!$K$4,AND($H11&lt;&gt;"",OR($H11&lt;$B11,$H11&gt;Assumptions!$K$4))),"CHECK DATES",IF($L11="Closed",IF($O11="","CHECK CLOSURE DATE",IF(OR($O11&lt;$B11,$O11&gt;Assumptions!$K$4),"CHECK DATES",IF($O11&lt;=$N11,"Closed within target","Closed past target"))),IF($O11&lt;&gt;"","CHECK CLOSURE STATUS",IF($N11&lt;Assumptions!$K$4,"OVERDUE — HUMAN CHECK","Open within target")))),"CHECK DATES")))))</f>
        <v/>
      </c>
      <c r="R11" s="14" t="inlineStr">
        <is>
          <t>No</t>
        </is>
      </c>
      <c r="S11" s="16" t="inlineStr"/>
    </row>
    <row r="12" ht="44" customHeight="1">
      <c r="A12" s="14" t="inlineStr">
        <is>
          <t>CMP-2026-009</t>
        </is>
      </c>
      <c r="B12" s="15" t="n">
        <v>46273</v>
      </c>
      <c r="C12" s="14" t="inlineStr">
        <is>
          <t>FIC-CLIENT-009</t>
        </is>
      </c>
      <c r="D12" s="14" t="inlineStr">
        <is>
          <t>Wren (Fictional Pet)</t>
        </is>
      </c>
      <c r="E12" s="14" t="inlineStr">
        <is>
          <t>Billing</t>
        </is>
      </c>
      <c r="F12" s="16" t="inlineStr">
        <is>
          <t>Client reported that a daycare add-on remained on the invoice after cancellation.</t>
        </is>
      </c>
      <c r="G12" s="14" t="inlineStr">
        <is>
          <t>Fictional Manager A</t>
        </is>
      </c>
      <c r="H12" s="15" t="n">
        <v>46273</v>
      </c>
      <c r="I12" s="16" t="inlineStr">
        <is>
          <t>Compared the invoice with the cancellation note.</t>
        </is>
      </c>
      <c r="J12" s="16" t="inlineStr">
        <is>
          <t>Issued a fictional $7.50 account adjustment.</t>
        </is>
      </c>
      <c r="K12" s="17" t="n">
        <v>7.5</v>
      </c>
      <c r="L12" s="14" t="inlineStr">
        <is>
          <t>Closed</t>
        </is>
      </c>
      <c r="M12" s="18">
        <f>IF($A12="","",IF($E12="","",IFERROR(VLOOKUP($E12,Assumptions!$A$4:$B$10,2,FALSE),"")))</f>
        <v/>
      </c>
      <c r="N12" s="19">
        <f>IF(OR($A12="",$B12="",$M12=""),"",IFERROR($B12+$M12,""))</f>
        <v/>
      </c>
      <c r="O12" s="15" t="n">
        <v>46274</v>
      </c>
      <c r="P12" s="18">
        <f>IF($A12="","",IF(OR($B12="",$L12=""),"",IFERROR(IF($L12="Closed",IF($O12="","",MAX(0,$O12-$B12)),IF(Assumptions!$K$4="","",MAX(0,Assumptions!$K$4-$B12))),"")))</f>
        <v/>
      </c>
      <c r="Q12" s="20">
        <f>IF($A12="","",IF(OR($B12="",$E12="",$G12="",$L12="",$M12="",$N12=""),"CHECK REQUIRED",IF(COUNTIF(Assumptions!$D$4:$D$7,$L12)=0,"CHECK STATUS",IF(Assumptions!$K$4="","CHECK AS-OF DATE",IFERROR(IF(OR($B12&gt;Assumptions!$K$4,AND($H12&lt;&gt;"",OR($H12&lt;$B12,$H12&gt;Assumptions!$K$4))),"CHECK DATES",IF($L12="Closed",IF($O12="","CHECK CLOSURE DATE",IF(OR($O12&lt;$B12,$O12&gt;Assumptions!$K$4),"CHECK DATES",IF($O12&lt;=$N12,"Closed within target","Closed past target"))),IF($O12&lt;&gt;"","CHECK CLOSURE STATUS",IF($N12&lt;Assumptions!$K$4,"OVERDUE — HUMAN CHECK","Open within target")))),"CHECK DATES")))))</f>
        <v/>
      </c>
      <c r="R12" s="14" t="inlineStr">
        <is>
          <t>No</t>
        </is>
      </c>
      <c r="S12" s="16" t="inlineStr"/>
    </row>
    <row r="13" ht="44" customHeight="1">
      <c r="A13" s="14" t="inlineStr">
        <is>
          <t>CMP-2026-010</t>
        </is>
      </c>
      <c r="B13" s="15" t="n">
        <v>46274</v>
      </c>
      <c r="C13" s="14" t="inlineStr">
        <is>
          <t>FIC-CLIENT-010</t>
        </is>
      </c>
      <c r="D13" s="14" t="inlineStr">
        <is>
          <t>Nova (Fictional Pet)</t>
        </is>
      </c>
      <c r="E13" s="14" t="inlineStr">
        <is>
          <t>Scheduling</t>
        </is>
      </c>
      <c r="F13" s="16" t="inlineStr">
        <is>
          <t>Client reported that a recurring dog-walking time was entered one hour late.</t>
        </is>
      </c>
      <c r="G13" s="14" t="inlineStr">
        <is>
          <t>Fictional Service Lead B</t>
        </is>
      </c>
      <c r="H13" s="15" t="n"/>
      <c r="I13" s="16" t="inlineStr"/>
      <c r="J13" s="16" t="inlineStr"/>
      <c r="K13" s="17" t="n"/>
      <c r="L13" s="14" t="inlineStr">
        <is>
          <t>New</t>
        </is>
      </c>
      <c r="M13" s="21">
        <f>IF($A13="","",IF($E13="","",IFERROR(VLOOKUP($E13,Assumptions!$A$4:$B$10,2,FALSE),"")))</f>
        <v/>
      </c>
      <c r="N13" s="22">
        <f>IF(OR($A13="",$B13="",$M13=""),"",IFERROR($B13+$M13,""))</f>
        <v/>
      </c>
      <c r="O13" s="15" t="n"/>
      <c r="P13" s="21">
        <f>IF($A13="","",IF(OR($B13="",$L13=""),"",IFERROR(IF($L13="Closed",IF($O13="","",MAX(0,$O13-$B13)),IF(Assumptions!$K$4="","",MAX(0,Assumptions!$K$4-$B13))),"")))</f>
        <v/>
      </c>
      <c r="Q13" s="23">
        <f>IF($A13="","",IF(OR($B13="",$E13="",$G13="",$L13="",$M13="",$N13=""),"CHECK REQUIRED",IF(COUNTIF(Assumptions!$D$4:$D$7,$L13)=0,"CHECK STATUS",IF(Assumptions!$K$4="","CHECK AS-OF DATE",IFERROR(IF(OR($B13&gt;Assumptions!$K$4,AND($H13&lt;&gt;"",OR($H13&lt;$B13,$H13&gt;Assumptions!$K$4))),"CHECK DATES",IF($L13="Closed",IF($O13="","CHECK CLOSURE DATE",IF(OR($O13&lt;$B13,$O13&gt;Assumptions!$K$4),"CHECK DATES",IF($O13&lt;=$N13,"Closed within target","Closed past target"))),IF($O13&lt;&gt;"","CHECK CLOSURE STATUS",IF($N13&lt;Assumptions!$K$4,"OVERDUE — HUMAN CHECK","Open within target")))),"CHECK DATES")))))</f>
        <v/>
      </c>
      <c r="R13" s="14" t="inlineStr">
        <is>
          <t>Yes</t>
        </is>
      </c>
      <c r="S13" s="16" t="inlineStr">
        <is>
          <t>Review the requested recurring time with the client.</t>
        </is>
      </c>
    </row>
    <row r="14" ht="30" customHeight="1">
      <c r="A14" s="14" t="n"/>
      <c r="B14" s="15" t="n"/>
      <c r="C14" s="14" t="n"/>
      <c r="D14" s="14" t="n"/>
      <c r="E14" s="14" t="n"/>
      <c r="F14" s="16" t="n"/>
      <c r="G14" s="14" t="n"/>
      <c r="H14" s="15" t="n"/>
      <c r="I14" s="16" t="n"/>
      <c r="J14" s="16" t="n"/>
      <c r="K14" s="17" t="n"/>
      <c r="L14" s="14" t="n"/>
      <c r="M14" s="18">
        <f>IF($A14="","",IF($E14="","",IFERROR(VLOOKUP($E14,Assumptions!$A$4:$B$10,2,FALSE),"")))</f>
        <v/>
      </c>
      <c r="N14" s="19">
        <f>IF(OR($A14="",$B14="",$M14=""),"",IFERROR($B14+$M14,""))</f>
        <v/>
      </c>
      <c r="O14" s="15" t="n"/>
      <c r="P14" s="18">
        <f>IF($A14="","",IF(OR($B14="",$L14=""),"",IFERROR(IF($L14="Closed",IF($O14="","",MAX(0,$O14-$B14)),IF(Assumptions!$K$4="","",MAX(0,Assumptions!$K$4-$B14))),"")))</f>
        <v/>
      </c>
      <c r="Q14" s="20">
        <f>IF($A14="","",IF(OR($B14="",$E14="",$G14="",$L14="",$M14="",$N14=""),"CHECK REQUIRED",IF(COUNTIF(Assumptions!$D$4:$D$7,$L14)=0,"CHECK STATUS",IF(Assumptions!$K$4="","CHECK AS-OF DATE",IFERROR(IF(OR($B14&gt;Assumptions!$K$4,AND($H14&lt;&gt;"",OR($H14&lt;$B14,$H14&gt;Assumptions!$K$4))),"CHECK DATES",IF($L14="Closed",IF($O14="","CHECK CLOSURE DATE",IF(OR($O14&lt;$B14,$O14&gt;Assumptions!$K$4),"CHECK DATES",IF($O14&lt;=$N14,"Closed within target","Closed past target"))),IF($O14&lt;&gt;"","CHECK CLOSURE STATUS",IF($N14&lt;Assumptions!$K$4,"OVERDUE — HUMAN CHECK","Open within target")))),"CHECK DATES")))))</f>
        <v/>
      </c>
      <c r="R14" s="14" t="n"/>
      <c r="S14" s="16" t="n"/>
    </row>
    <row r="15" ht="30" customHeight="1">
      <c r="A15" s="14" t="n"/>
      <c r="B15" s="15" t="n"/>
      <c r="C15" s="14" t="n"/>
      <c r="D15" s="14" t="n"/>
      <c r="E15" s="14" t="n"/>
      <c r="F15" s="16" t="n"/>
      <c r="G15" s="14" t="n"/>
      <c r="H15" s="15" t="n"/>
      <c r="I15" s="16" t="n"/>
      <c r="J15" s="16" t="n"/>
      <c r="K15" s="17" t="n"/>
      <c r="L15" s="14" t="n"/>
      <c r="M15" s="21">
        <f>IF($A15="","",IF($E15="","",IFERROR(VLOOKUP($E15,Assumptions!$A$4:$B$10,2,FALSE),"")))</f>
        <v/>
      </c>
      <c r="N15" s="22">
        <f>IF(OR($A15="",$B15="",$M15=""),"",IFERROR($B15+$M15,""))</f>
        <v/>
      </c>
      <c r="O15" s="15" t="n"/>
      <c r="P15" s="21">
        <f>IF($A15="","",IF(OR($B15="",$L15=""),"",IFERROR(IF($L15="Closed",IF($O15="","",MAX(0,$O15-$B15)),IF(Assumptions!$K$4="","",MAX(0,Assumptions!$K$4-$B15))),"")))</f>
        <v/>
      </c>
      <c r="Q15" s="23">
        <f>IF($A15="","",IF(OR($B15="",$E15="",$G15="",$L15="",$M15="",$N15=""),"CHECK REQUIRED",IF(COUNTIF(Assumptions!$D$4:$D$7,$L15)=0,"CHECK STATUS",IF(Assumptions!$K$4="","CHECK AS-OF DATE",IFERROR(IF(OR($B15&gt;Assumptions!$K$4,AND($H15&lt;&gt;"",OR($H15&lt;$B15,$H15&gt;Assumptions!$K$4))),"CHECK DATES",IF($L15="Closed",IF($O15="","CHECK CLOSURE DATE",IF(OR($O15&lt;$B15,$O15&gt;Assumptions!$K$4),"CHECK DATES",IF($O15&lt;=$N15,"Closed within target","Closed past target"))),IF($O15&lt;&gt;"","CHECK CLOSURE STATUS",IF($N15&lt;Assumptions!$K$4,"OVERDUE — HUMAN CHECK","Open within target")))),"CHECK DATES")))))</f>
        <v/>
      </c>
      <c r="R15" s="14" t="n"/>
      <c r="S15" s="16" t="n"/>
    </row>
    <row r="16" ht="30" customHeight="1">
      <c r="A16" s="14" t="n"/>
      <c r="B16" s="15" t="n"/>
      <c r="C16" s="14" t="n"/>
      <c r="D16" s="14" t="n"/>
      <c r="E16" s="14" t="n"/>
      <c r="F16" s="16" t="n"/>
      <c r="G16" s="14" t="n"/>
      <c r="H16" s="15" t="n"/>
      <c r="I16" s="16" t="n"/>
      <c r="J16" s="16" t="n"/>
      <c r="K16" s="17" t="n"/>
      <c r="L16" s="14" t="n"/>
      <c r="M16" s="18">
        <f>IF($A16="","",IF($E16="","",IFERROR(VLOOKUP($E16,Assumptions!$A$4:$B$10,2,FALSE),"")))</f>
        <v/>
      </c>
      <c r="N16" s="19">
        <f>IF(OR($A16="",$B16="",$M16=""),"",IFERROR($B16+$M16,""))</f>
        <v/>
      </c>
      <c r="O16" s="15" t="n"/>
      <c r="P16" s="18">
        <f>IF($A16="","",IF(OR($B16="",$L16=""),"",IFERROR(IF($L16="Closed",IF($O16="","",MAX(0,$O16-$B16)),IF(Assumptions!$K$4="","",MAX(0,Assumptions!$K$4-$B16))),"")))</f>
        <v/>
      </c>
      <c r="Q16" s="20">
        <f>IF($A16="","",IF(OR($B16="",$E16="",$G16="",$L16="",$M16="",$N16=""),"CHECK REQUIRED",IF(COUNTIF(Assumptions!$D$4:$D$7,$L16)=0,"CHECK STATUS",IF(Assumptions!$K$4="","CHECK AS-OF DATE",IFERROR(IF(OR($B16&gt;Assumptions!$K$4,AND($H16&lt;&gt;"",OR($H16&lt;$B16,$H16&gt;Assumptions!$K$4))),"CHECK DATES",IF($L16="Closed",IF($O16="","CHECK CLOSURE DATE",IF(OR($O16&lt;$B16,$O16&gt;Assumptions!$K$4),"CHECK DATES",IF($O16&lt;=$N16,"Closed within target","Closed past target"))),IF($O16&lt;&gt;"","CHECK CLOSURE STATUS",IF($N16&lt;Assumptions!$K$4,"OVERDUE — HUMAN CHECK","Open within target")))),"CHECK DATES")))))</f>
        <v/>
      </c>
      <c r="R16" s="14" t="n"/>
      <c r="S16" s="16" t="n"/>
    </row>
    <row r="17" ht="30" customHeight="1">
      <c r="A17" s="14" t="n"/>
      <c r="B17" s="15" t="n"/>
      <c r="C17" s="14" t="n"/>
      <c r="D17" s="14" t="n"/>
      <c r="E17" s="14" t="n"/>
      <c r="F17" s="16" t="n"/>
      <c r="G17" s="14" t="n"/>
      <c r="H17" s="15" t="n"/>
      <c r="I17" s="16" t="n"/>
      <c r="J17" s="16" t="n"/>
      <c r="K17" s="17" t="n"/>
      <c r="L17" s="14" t="n"/>
      <c r="M17" s="21">
        <f>IF($A17="","",IF($E17="","",IFERROR(VLOOKUP($E17,Assumptions!$A$4:$B$10,2,FALSE),"")))</f>
        <v/>
      </c>
      <c r="N17" s="22">
        <f>IF(OR($A17="",$B17="",$M17=""),"",IFERROR($B17+$M17,""))</f>
        <v/>
      </c>
      <c r="O17" s="15" t="n"/>
      <c r="P17" s="21">
        <f>IF($A17="","",IF(OR($B17="",$L17=""),"",IFERROR(IF($L17="Closed",IF($O17="","",MAX(0,$O17-$B17)),IF(Assumptions!$K$4="","",MAX(0,Assumptions!$K$4-$B17))),"")))</f>
        <v/>
      </c>
      <c r="Q17" s="23">
        <f>IF($A17="","",IF(OR($B17="",$E17="",$G17="",$L17="",$M17="",$N17=""),"CHECK REQUIRED",IF(COUNTIF(Assumptions!$D$4:$D$7,$L17)=0,"CHECK STATUS",IF(Assumptions!$K$4="","CHECK AS-OF DATE",IFERROR(IF(OR($B17&gt;Assumptions!$K$4,AND($H17&lt;&gt;"",OR($H17&lt;$B17,$H17&gt;Assumptions!$K$4))),"CHECK DATES",IF($L17="Closed",IF($O17="","CHECK CLOSURE DATE",IF(OR($O17&lt;$B17,$O17&gt;Assumptions!$K$4),"CHECK DATES",IF($O17&lt;=$N17,"Closed within target","Closed past target"))),IF($O17&lt;&gt;"","CHECK CLOSURE STATUS",IF($N17&lt;Assumptions!$K$4,"OVERDUE — HUMAN CHECK","Open within target")))),"CHECK DATES")))))</f>
        <v/>
      </c>
      <c r="R17" s="14" t="n"/>
      <c r="S17" s="16" t="n"/>
    </row>
    <row r="18" ht="30" customHeight="1">
      <c r="A18" s="14" t="n"/>
      <c r="B18" s="15" t="n"/>
      <c r="C18" s="14" t="n"/>
      <c r="D18" s="14" t="n"/>
      <c r="E18" s="14" t="n"/>
      <c r="F18" s="16" t="n"/>
      <c r="G18" s="14" t="n"/>
      <c r="H18" s="15" t="n"/>
      <c r="I18" s="16" t="n"/>
      <c r="J18" s="16" t="n"/>
      <c r="K18" s="17" t="n"/>
      <c r="L18" s="14" t="n"/>
      <c r="M18" s="18">
        <f>IF($A18="","",IF($E18="","",IFERROR(VLOOKUP($E18,Assumptions!$A$4:$B$10,2,FALSE),"")))</f>
        <v/>
      </c>
      <c r="N18" s="19">
        <f>IF(OR($A18="",$B18="",$M18=""),"",IFERROR($B18+$M18,""))</f>
        <v/>
      </c>
      <c r="O18" s="15" t="n"/>
      <c r="P18" s="18">
        <f>IF($A18="","",IF(OR($B18="",$L18=""),"",IFERROR(IF($L18="Closed",IF($O18="","",MAX(0,$O18-$B18)),IF(Assumptions!$K$4="","",MAX(0,Assumptions!$K$4-$B18))),"")))</f>
        <v/>
      </c>
      <c r="Q18" s="20">
        <f>IF($A18="","",IF(OR($B18="",$E18="",$G18="",$L18="",$M18="",$N18=""),"CHECK REQUIRED",IF(COUNTIF(Assumptions!$D$4:$D$7,$L18)=0,"CHECK STATUS",IF(Assumptions!$K$4="","CHECK AS-OF DATE",IFERROR(IF(OR($B18&gt;Assumptions!$K$4,AND($H18&lt;&gt;"",OR($H18&lt;$B18,$H18&gt;Assumptions!$K$4))),"CHECK DATES",IF($L18="Closed",IF($O18="","CHECK CLOSURE DATE",IF(OR($O18&lt;$B18,$O18&gt;Assumptions!$K$4),"CHECK DATES",IF($O18&lt;=$N18,"Closed within target","Closed past target"))),IF($O18&lt;&gt;"","CHECK CLOSURE STATUS",IF($N18&lt;Assumptions!$K$4,"OVERDUE — HUMAN CHECK","Open within target")))),"CHECK DATES")))))</f>
        <v/>
      </c>
      <c r="R18" s="14" t="n"/>
      <c r="S18" s="16" t="n"/>
    </row>
    <row r="19" ht="30" customHeight="1">
      <c r="A19" s="14" t="n"/>
      <c r="B19" s="15" t="n"/>
      <c r="C19" s="14" t="n"/>
      <c r="D19" s="14" t="n"/>
      <c r="E19" s="14" t="n"/>
      <c r="F19" s="16" t="n"/>
      <c r="G19" s="14" t="n"/>
      <c r="H19" s="15" t="n"/>
      <c r="I19" s="16" t="n"/>
      <c r="J19" s="16" t="n"/>
      <c r="K19" s="17" t="n"/>
      <c r="L19" s="14" t="n"/>
      <c r="M19" s="21">
        <f>IF($A19="","",IF($E19="","",IFERROR(VLOOKUP($E19,Assumptions!$A$4:$B$10,2,FALSE),"")))</f>
        <v/>
      </c>
      <c r="N19" s="22">
        <f>IF(OR($A19="",$B19="",$M19=""),"",IFERROR($B19+$M19,""))</f>
        <v/>
      </c>
      <c r="O19" s="15" t="n"/>
      <c r="P19" s="21">
        <f>IF($A19="","",IF(OR($B19="",$L19=""),"",IFERROR(IF($L19="Closed",IF($O19="","",MAX(0,$O19-$B19)),IF(Assumptions!$K$4="","",MAX(0,Assumptions!$K$4-$B19))),"")))</f>
        <v/>
      </c>
      <c r="Q19" s="23">
        <f>IF($A19="","",IF(OR($B19="",$E19="",$G19="",$L19="",$M19="",$N19=""),"CHECK REQUIRED",IF(COUNTIF(Assumptions!$D$4:$D$7,$L19)=0,"CHECK STATUS",IF(Assumptions!$K$4="","CHECK AS-OF DATE",IFERROR(IF(OR($B19&gt;Assumptions!$K$4,AND($H19&lt;&gt;"",OR($H19&lt;$B19,$H19&gt;Assumptions!$K$4))),"CHECK DATES",IF($L19="Closed",IF($O19="","CHECK CLOSURE DATE",IF(OR($O19&lt;$B19,$O19&gt;Assumptions!$K$4),"CHECK DATES",IF($O19&lt;=$N19,"Closed within target","Closed past target"))),IF($O19&lt;&gt;"","CHECK CLOSURE STATUS",IF($N19&lt;Assumptions!$K$4,"OVERDUE — HUMAN CHECK","Open within target")))),"CHECK DATES")))))</f>
        <v/>
      </c>
      <c r="R19" s="14" t="n"/>
      <c r="S19" s="16" t="n"/>
    </row>
    <row r="20" ht="30" customHeight="1">
      <c r="A20" s="14" t="n"/>
      <c r="B20" s="15" t="n"/>
      <c r="C20" s="14" t="n"/>
      <c r="D20" s="14" t="n"/>
      <c r="E20" s="14" t="n"/>
      <c r="F20" s="16" t="n"/>
      <c r="G20" s="14" t="n"/>
      <c r="H20" s="15" t="n"/>
      <c r="I20" s="16" t="n"/>
      <c r="J20" s="16" t="n"/>
      <c r="K20" s="17" t="n"/>
      <c r="L20" s="14" t="n"/>
      <c r="M20" s="18">
        <f>IF($A20="","",IF($E20="","",IFERROR(VLOOKUP($E20,Assumptions!$A$4:$B$10,2,FALSE),"")))</f>
        <v/>
      </c>
      <c r="N20" s="19">
        <f>IF(OR($A20="",$B20="",$M20=""),"",IFERROR($B20+$M20,""))</f>
        <v/>
      </c>
      <c r="O20" s="15" t="n"/>
      <c r="P20" s="18">
        <f>IF($A20="","",IF(OR($B20="",$L20=""),"",IFERROR(IF($L20="Closed",IF($O20="","",MAX(0,$O20-$B20)),IF(Assumptions!$K$4="","",MAX(0,Assumptions!$K$4-$B20))),"")))</f>
        <v/>
      </c>
      <c r="Q20" s="20">
        <f>IF($A20="","",IF(OR($B20="",$E20="",$G20="",$L20="",$M20="",$N20=""),"CHECK REQUIRED",IF(COUNTIF(Assumptions!$D$4:$D$7,$L20)=0,"CHECK STATUS",IF(Assumptions!$K$4="","CHECK AS-OF DATE",IFERROR(IF(OR($B20&gt;Assumptions!$K$4,AND($H20&lt;&gt;"",OR($H20&lt;$B20,$H20&gt;Assumptions!$K$4))),"CHECK DATES",IF($L20="Closed",IF($O20="","CHECK CLOSURE DATE",IF(OR($O20&lt;$B20,$O20&gt;Assumptions!$K$4),"CHECK DATES",IF($O20&lt;=$N20,"Closed within target","Closed past target"))),IF($O20&lt;&gt;"","CHECK CLOSURE STATUS",IF($N20&lt;Assumptions!$K$4,"OVERDUE — HUMAN CHECK","Open within target")))),"CHECK DATES")))))</f>
        <v/>
      </c>
      <c r="R20" s="14" t="n"/>
      <c r="S20" s="16" t="n"/>
    </row>
    <row r="21" ht="30" customHeight="1">
      <c r="A21" s="14" t="n"/>
      <c r="B21" s="15" t="n"/>
      <c r="C21" s="14" t="n"/>
      <c r="D21" s="14" t="n"/>
      <c r="E21" s="14" t="n"/>
      <c r="F21" s="16" t="n"/>
      <c r="G21" s="14" t="n"/>
      <c r="H21" s="15" t="n"/>
      <c r="I21" s="16" t="n"/>
      <c r="J21" s="16" t="n"/>
      <c r="K21" s="17" t="n"/>
      <c r="L21" s="14" t="n"/>
      <c r="M21" s="21">
        <f>IF($A21="","",IF($E21="","",IFERROR(VLOOKUP($E21,Assumptions!$A$4:$B$10,2,FALSE),"")))</f>
        <v/>
      </c>
      <c r="N21" s="22">
        <f>IF(OR($A21="",$B21="",$M21=""),"",IFERROR($B21+$M21,""))</f>
        <v/>
      </c>
      <c r="O21" s="15" t="n"/>
      <c r="P21" s="21">
        <f>IF($A21="","",IF(OR($B21="",$L21=""),"",IFERROR(IF($L21="Closed",IF($O21="","",MAX(0,$O21-$B21)),IF(Assumptions!$K$4="","",MAX(0,Assumptions!$K$4-$B21))),"")))</f>
        <v/>
      </c>
      <c r="Q21" s="23">
        <f>IF($A21="","",IF(OR($B21="",$E21="",$G21="",$L21="",$M21="",$N21=""),"CHECK REQUIRED",IF(COUNTIF(Assumptions!$D$4:$D$7,$L21)=0,"CHECK STATUS",IF(Assumptions!$K$4="","CHECK AS-OF DATE",IFERROR(IF(OR($B21&gt;Assumptions!$K$4,AND($H21&lt;&gt;"",OR($H21&lt;$B21,$H21&gt;Assumptions!$K$4))),"CHECK DATES",IF($L21="Closed",IF($O21="","CHECK CLOSURE DATE",IF(OR($O21&lt;$B21,$O21&gt;Assumptions!$K$4),"CHECK DATES",IF($O21&lt;=$N21,"Closed within target","Closed past target"))),IF($O21&lt;&gt;"","CHECK CLOSURE STATUS",IF($N21&lt;Assumptions!$K$4,"OVERDUE — HUMAN CHECK","Open within target")))),"CHECK DATES")))))</f>
        <v/>
      </c>
      <c r="R21" s="14" t="n"/>
      <c r="S21" s="16" t="n"/>
    </row>
    <row r="22" ht="30" customHeight="1">
      <c r="A22" s="14" t="n"/>
      <c r="B22" s="15" t="n"/>
      <c r="C22" s="14" t="n"/>
      <c r="D22" s="14" t="n"/>
      <c r="E22" s="14" t="n"/>
      <c r="F22" s="16" t="n"/>
      <c r="G22" s="14" t="n"/>
      <c r="H22" s="15" t="n"/>
      <c r="I22" s="16" t="n"/>
      <c r="J22" s="16" t="n"/>
      <c r="K22" s="17" t="n"/>
      <c r="L22" s="14" t="n"/>
      <c r="M22" s="18">
        <f>IF($A22="","",IF($E22="","",IFERROR(VLOOKUP($E22,Assumptions!$A$4:$B$10,2,FALSE),"")))</f>
        <v/>
      </c>
      <c r="N22" s="19">
        <f>IF(OR($A22="",$B22="",$M22=""),"",IFERROR($B22+$M22,""))</f>
        <v/>
      </c>
      <c r="O22" s="15" t="n"/>
      <c r="P22" s="18">
        <f>IF($A22="","",IF(OR($B22="",$L22=""),"",IFERROR(IF($L22="Closed",IF($O22="","",MAX(0,$O22-$B22)),IF(Assumptions!$K$4="","",MAX(0,Assumptions!$K$4-$B22))),"")))</f>
        <v/>
      </c>
      <c r="Q22" s="20">
        <f>IF($A22="","",IF(OR($B22="",$E22="",$G22="",$L22="",$M22="",$N22=""),"CHECK REQUIRED",IF(COUNTIF(Assumptions!$D$4:$D$7,$L22)=0,"CHECK STATUS",IF(Assumptions!$K$4="","CHECK AS-OF DATE",IFERROR(IF(OR($B22&gt;Assumptions!$K$4,AND($H22&lt;&gt;"",OR($H22&lt;$B22,$H22&gt;Assumptions!$K$4))),"CHECK DATES",IF($L22="Closed",IF($O22="","CHECK CLOSURE DATE",IF(OR($O22&lt;$B22,$O22&gt;Assumptions!$K$4),"CHECK DATES",IF($O22&lt;=$N22,"Closed within target","Closed past target"))),IF($O22&lt;&gt;"","CHECK CLOSURE STATUS",IF($N22&lt;Assumptions!$K$4,"OVERDUE — HUMAN CHECK","Open within target")))),"CHECK DATES")))))</f>
        <v/>
      </c>
      <c r="R22" s="14" t="n"/>
      <c r="S22" s="16" t="n"/>
    </row>
    <row r="23" ht="30" customHeight="1">
      <c r="A23" s="14" t="n"/>
      <c r="B23" s="15" t="n"/>
      <c r="C23" s="14" t="n"/>
      <c r="D23" s="14" t="n"/>
      <c r="E23" s="14" t="n"/>
      <c r="F23" s="16" t="n"/>
      <c r="G23" s="14" t="n"/>
      <c r="H23" s="15" t="n"/>
      <c r="I23" s="16" t="n"/>
      <c r="J23" s="16" t="n"/>
      <c r="K23" s="17" t="n"/>
      <c r="L23" s="14" t="n"/>
      <c r="M23" s="21">
        <f>IF($A23="","",IF($E23="","",IFERROR(VLOOKUP($E23,Assumptions!$A$4:$B$10,2,FALSE),"")))</f>
        <v/>
      </c>
      <c r="N23" s="22">
        <f>IF(OR($A23="",$B23="",$M23=""),"",IFERROR($B23+$M23,""))</f>
        <v/>
      </c>
      <c r="O23" s="15" t="n"/>
      <c r="P23" s="21">
        <f>IF($A23="","",IF(OR($B23="",$L23=""),"",IFERROR(IF($L23="Closed",IF($O23="","",MAX(0,$O23-$B23)),IF(Assumptions!$K$4="","",MAX(0,Assumptions!$K$4-$B23))),"")))</f>
        <v/>
      </c>
      <c r="Q23" s="23">
        <f>IF($A23="","",IF(OR($B23="",$E23="",$G23="",$L23="",$M23="",$N23=""),"CHECK REQUIRED",IF(COUNTIF(Assumptions!$D$4:$D$7,$L23)=0,"CHECK STATUS",IF(Assumptions!$K$4="","CHECK AS-OF DATE",IFERROR(IF(OR($B23&gt;Assumptions!$K$4,AND($H23&lt;&gt;"",OR($H23&lt;$B23,$H23&gt;Assumptions!$K$4))),"CHECK DATES",IF($L23="Closed",IF($O23="","CHECK CLOSURE DATE",IF(OR($O23&lt;$B23,$O23&gt;Assumptions!$K$4),"CHECK DATES",IF($O23&lt;=$N23,"Closed within target","Closed past target"))),IF($O23&lt;&gt;"","CHECK CLOSURE STATUS",IF($N23&lt;Assumptions!$K$4,"OVERDUE — HUMAN CHECK","Open within target")))),"CHECK DATES")))))</f>
        <v/>
      </c>
      <c r="R23" s="14" t="n"/>
      <c r="S23" s="16" t="n"/>
    </row>
    <row r="24" ht="30" customHeight="1">
      <c r="A24" s="14" t="n"/>
      <c r="B24" s="15" t="n"/>
      <c r="C24" s="14" t="n"/>
      <c r="D24" s="14" t="n"/>
      <c r="E24" s="14" t="n"/>
      <c r="F24" s="16" t="n"/>
      <c r="G24" s="14" t="n"/>
      <c r="H24" s="15" t="n"/>
      <c r="I24" s="16" t="n"/>
      <c r="J24" s="16" t="n"/>
      <c r="K24" s="17" t="n"/>
      <c r="L24" s="14" t="n"/>
      <c r="M24" s="18">
        <f>IF($A24="","",IF($E24="","",IFERROR(VLOOKUP($E24,Assumptions!$A$4:$B$10,2,FALSE),"")))</f>
        <v/>
      </c>
      <c r="N24" s="19">
        <f>IF(OR($A24="",$B24="",$M24=""),"",IFERROR($B24+$M24,""))</f>
        <v/>
      </c>
      <c r="O24" s="15" t="n"/>
      <c r="P24" s="18">
        <f>IF($A24="","",IF(OR($B24="",$L24=""),"",IFERROR(IF($L24="Closed",IF($O24="","",MAX(0,$O24-$B24)),IF(Assumptions!$K$4="","",MAX(0,Assumptions!$K$4-$B24))),"")))</f>
        <v/>
      </c>
      <c r="Q24" s="20">
        <f>IF($A24="","",IF(OR($B24="",$E24="",$G24="",$L24="",$M24="",$N24=""),"CHECK REQUIRED",IF(COUNTIF(Assumptions!$D$4:$D$7,$L24)=0,"CHECK STATUS",IF(Assumptions!$K$4="","CHECK AS-OF DATE",IFERROR(IF(OR($B24&gt;Assumptions!$K$4,AND($H24&lt;&gt;"",OR($H24&lt;$B24,$H24&gt;Assumptions!$K$4))),"CHECK DATES",IF($L24="Closed",IF($O24="","CHECK CLOSURE DATE",IF(OR($O24&lt;$B24,$O24&gt;Assumptions!$K$4),"CHECK DATES",IF($O24&lt;=$N24,"Closed within target","Closed past target"))),IF($O24&lt;&gt;"","CHECK CLOSURE STATUS",IF($N24&lt;Assumptions!$K$4,"OVERDUE — HUMAN CHECK","Open within target")))),"CHECK DATES")))))</f>
        <v/>
      </c>
      <c r="R24" s="14" t="n"/>
      <c r="S24" s="16" t="n"/>
    </row>
    <row r="25" ht="30" customHeight="1">
      <c r="A25" s="14" t="n"/>
      <c r="B25" s="15" t="n"/>
      <c r="C25" s="14" t="n"/>
      <c r="D25" s="14" t="n"/>
      <c r="E25" s="14" t="n"/>
      <c r="F25" s="16" t="n"/>
      <c r="G25" s="14" t="n"/>
      <c r="H25" s="15" t="n"/>
      <c r="I25" s="16" t="n"/>
      <c r="J25" s="16" t="n"/>
      <c r="K25" s="17" t="n"/>
      <c r="L25" s="14" t="n"/>
      <c r="M25" s="21">
        <f>IF($A25="","",IF($E25="","",IFERROR(VLOOKUP($E25,Assumptions!$A$4:$B$10,2,FALSE),"")))</f>
        <v/>
      </c>
      <c r="N25" s="22">
        <f>IF(OR($A25="",$B25="",$M25=""),"",IFERROR($B25+$M25,""))</f>
        <v/>
      </c>
      <c r="O25" s="15" t="n"/>
      <c r="P25" s="21">
        <f>IF($A25="","",IF(OR($B25="",$L25=""),"",IFERROR(IF($L25="Closed",IF($O25="","",MAX(0,$O25-$B25)),IF(Assumptions!$K$4="","",MAX(0,Assumptions!$K$4-$B25))),"")))</f>
        <v/>
      </c>
      <c r="Q25" s="23">
        <f>IF($A25="","",IF(OR($B25="",$E25="",$G25="",$L25="",$M25="",$N25=""),"CHECK REQUIRED",IF(COUNTIF(Assumptions!$D$4:$D$7,$L25)=0,"CHECK STATUS",IF(Assumptions!$K$4="","CHECK AS-OF DATE",IFERROR(IF(OR($B25&gt;Assumptions!$K$4,AND($H25&lt;&gt;"",OR($H25&lt;$B25,$H25&gt;Assumptions!$K$4))),"CHECK DATES",IF($L25="Closed",IF($O25="","CHECK CLOSURE DATE",IF(OR($O25&lt;$B25,$O25&gt;Assumptions!$K$4),"CHECK DATES",IF($O25&lt;=$N25,"Closed within target","Closed past target"))),IF($O25&lt;&gt;"","CHECK CLOSURE STATUS",IF($N25&lt;Assumptions!$K$4,"OVERDUE — HUMAN CHECK","Open within target")))),"CHECK DATES")))))</f>
        <v/>
      </c>
      <c r="R25" s="14" t="n"/>
      <c r="S25" s="16" t="n"/>
    </row>
    <row r="26" ht="30" customHeight="1">
      <c r="A26" s="14" t="n"/>
      <c r="B26" s="15" t="n"/>
      <c r="C26" s="14" t="n"/>
      <c r="D26" s="14" t="n"/>
      <c r="E26" s="14" t="n"/>
      <c r="F26" s="16" t="n"/>
      <c r="G26" s="14" t="n"/>
      <c r="H26" s="15" t="n"/>
      <c r="I26" s="16" t="n"/>
      <c r="J26" s="16" t="n"/>
      <c r="K26" s="17" t="n"/>
      <c r="L26" s="14" t="n"/>
      <c r="M26" s="18">
        <f>IF($A26="","",IF($E26="","",IFERROR(VLOOKUP($E26,Assumptions!$A$4:$B$10,2,FALSE),"")))</f>
        <v/>
      </c>
      <c r="N26" s="19">
        <f>IF(OR($A26="",$B26="",$M26=""),"",IFERROR($B26+$M26,""))</f>
        <v/>
      </c>
      <c r="O26" s="15" t="n"/>
      <c r="P26" s="18">
        <f>IF($A26="","",IF(OR($B26="",$L26=""),"",IFERROR(IF($L26="Closed",IF($O26="","",MAX(0,$O26-$B26)),IF(Assumptions!$K$4="","",MAX(0,Assumptions!$K$4-$B26))),"")))</f>
        <v/>
      </c>
      <c r="Q26" s="20">
        <f>IF($A26="","",IF(OR($B26="",$E26="",$G26="",$L26="",$M26="",$N26=""),"CHECK REQUIRED",IF(COUNTIF(Assumptions!$D$4:$D$7,$L26)=0,"CHECK STATUS",IF(Assumptions!$K$4="","CHECK AS-OF DATE",IFERROR(IF(OR($B26&gt;Assumptions!$K$4,AND($H26&lt;&gt;"",OR($H26&lt;$B26,$H26&gt;Assumptions!$K$4))),"CHECK DATES",IF($L26="Closed",IF($O26="","CHECK CLOSURE DATE",IF(OR($O26&lt;$B26,$O26&gt;Assumptions!$K$4),"CHECK DATES",IF($O26&lt;=$N26,"Closed within target","Closed past target"))),IF($O26&lt;&gt;"","CHECK CLOSURE STATUS",IF($N26&lt;Assumptions!$K$4,"OVERDUE — HUMAN CHECK","Open within target")))),"CHECK DATES")))))</f>
        <v/>
      </c>
      <c r="R26" s="14" t="n"/>
      <c r="S26" s="16" t="n"/>
    </row>
    <row r="27" ht="30" customHeight="1">
      <c r="A27" s="14" t="n"/>
      <c r="B27" s="15" t="n"/>
      <c r="C27" s="14" t="n"/>
      <c r="D27" s="14" t="n"/>
      <c r="E27" s="14" t="n"/>
      <c r="F27" s="16" t="n"/>
      <c r="G27" s="14" t="n"/>
      <c r="H27" s="15" t="n"/>
      <c r="I27" s="16" t="n"/>
      <c r="J27" s="16" t="n"/>
      <c r="K27" s="17" t="n"/>
      <c r="L27" s="14" t="n"/>
      <c r="M27" s="21">
        <f>IF($A27="","",IF($E27="","",IFERROR(VLOOKUP($E27,Assumptions!$A$4:$B$10,2,FALSE),"")))</f>
        <v/>
      </c>
      <c r="N27" s="22">
        <f>IF(OR($A27="",$B27="",$M27=""),"",IFERROR($B27+$M27,""))</f>
        <v/>
      </c>
      <c r="O27" s="15" t="n"/>
      <c r="P27" s="21">
        <f>IF($A27="","",IF(OR($B27="",$L27=""),"",IFERROR(IF($L27="Closed",IF($O27="","",MAX(0,$O27-$B27)),IF(Assumptions!$K$4="","",MAX(0,Assumptions!$K$4-$B27))),"")))</f>
        <v/>
      </c>
      <c r="Q27" s="23">
        <f>IF($A27="","",IF(OR($B27="",$E27="",$G27="",$L27="",$M27="",$N27=""),"CHECK REQUIRED",IF(COUNTIF(Assumptions!$D$4:$D$7,$L27)=0,"CHECK STATUS",IF(Assumptions!$K$4="","CHECK AS-OF DATE",IFERROR(IF(OR($B27&gt;Assumptions!$K$4,AND($H27&lt;&gt;"",OR($H27&lt;$B27,$H27&gt;Assumptions!$K$4))),"CHECK DATES",IF($L27="Closed",IF($O27="","CHECK CLOSURE DATE",IF(OR($O27&lt;$B27,$O27&gt;Assumptions!$K$4),"CHECK DATES",IF($O27&lt;=$N27,"Closed within target","Closed past target"))),IF($O27&lt;&gt;"","CHECK CLOSURE STATUS",IF($N27&lt;Assumptions!$K$4,"OVERDUE — HUMAN CHECK","Open within target")))),"CHECK DATES")))))</f>
        <v/>
      </c>
      <c r="R27" s="14" t="n"/>
      <c r="S27" s="16" t="n"/>
    </row>
    <row r="28" ht="30" customHeight="1">
      <c r="A28" s="14" t="n"/>
      <c r="B28" s="15" t="n"/>
      <c r="C28" s="14" t="n"/>
      <c r="D28" s="14" t="n"/>
      <c r="E28" s="14" t="n"/>
      <c r="F28" s="16" t="n"/>
      <c r="G28" s="14" t="n"/>
      <c r="H28" s="15" t="n"/>
      <c r="I28" s="16" t="n"/>
      <c r="J28" s="16" t="n"/>
      <c r="K28" s="17" t="n"/>
      <c r="L28" s="14" t="n"/>
      <c r="M28" s="18">
        <f>IF($A28="","",IF($E28="","",IFERROR(VLOOKUP($E28,Assumptions!$A$4:$B$10,2,FALSE),"")))</f>
        <v/>
      </c>
      <c r="N28" s="19">
        <f>IF(OR($A28="",$B28="",$M28=""),"",IFERROR($B28+$M28,""))</f>
        <v/>
      </c>
      <c r="O28" s="15" t="n"/>
      <c r="P28" s="18">
        <f>IF($A28="","",IF(OR($B28="",$L28=""),"",IFERROR(IF($L28="Closed",IF($O28="","",MAX(0,$O28-$B28)),IF(Assumptions!$K$4="","",MAX(0,Assumptions!$K$4-$B28))),"")))</f>
        <v/>
      </c>
      <c r="Q28" s="20">
        <f>IF($A28="","",IF(OR($B28="",$E28="",$G28="",$L28="",$M28="",$N28=""),"CHECK REQUIRED",IF(COUNTIF(Assumptions!$D$4:$D$7,$L28)=0,"CHECK STATUS",IF(Assumptions!$K$4="","CHECK AS-OF DATE",IFERROR(IF(OR($B28&gt;Assumptions!$K$4,AND($H28&lt;&gt;"",OR($H28&lt;$B28,$H28&gt;Assumptions!$K$4))),"CHECK DATES",IF($L28="Closed",IF($O28="","CHECK CLOSURE DATE",IF(OR($O28&lt;$B28,$O28&gt;Assumptions!$K$4),"CHECK DATES",IF($O28&lt;=$N28,"Closed within target","Closed past target"))),IF($O28&lt;&gt;"","CHECK CLOSURE STATUS",IF($N28&lt;Assumptions!$K$4,"OVERDUE — HUMAN CHECK","Open within target")))),"CHECK DATES")))))</f>
        <v/>
      </c>
      <c r="R28" s="14" t="n"/>
      <c r="S28" s="16" t="n"/>
    </row>
    <row r="29" ht="30" customHeight="1">
      <c r="A29" s="14" t="n"/>
      <c r="B29" s="15" t="n"/>
      <c r="C29" s="14" t="n"/>
      <c r="D29" s="14" t="n"/>
      <c r="E29" s="14" t="n"/>
      <c r="F29" s="16" t="n"/>
      <c r="G29" s="14" t="n"/>
      <c r="H29" s="15" t="n"/>
      <c r="I29" s="16" t="n"/>
      <c r="J29" s="16" t="n"/>
      <c r="K29" s="17" t="n"/>
      <c r="L29" s="14" t="n"/>
      <c r="M29" s="21">
        <f>IF($A29="","",IF($E29="","",IFERROR(VLOOKUP($E29,Assumptions!$A$4:$B$10,2,FALSE),"")))</f>
        <v/>
      </c>
      <c r="N29" s="22">
        <f>IF(OR($A29="",$B29="",$M29=""),"",IFERROR($B29+$M29,""))</f>
        <v/>
      </c>
      <c r="O29" s="15" t="n"/>
      <c r="P29" s="21">
        <f>IF($A29="","",IF(OR($B29="",$L29=""),"",IFERROR(IF($L29="Closed",IF($O29="","",MAX(0,$O29-$B29)),IF(Assumptions!$K$4="","",MAX(0,Assumptions!$K$4-$B29))),"")))</f>
        <v/>
      </c>
      <c r="Q29" s="23">
        <f>IF($A29="","",IF(OR($B29="",$E29="",$G29="",$L29="",$M29="",$N29=""),"CHECK REQUIRED",IF(COUNTIF(Assumptions!$D$4:$D$7,$L29)=0,"CHECK STATUS",IF(Assumptions!$K$4="","CHECK AS-OF DATE",IFERROR(IF(OR($B29&gt;Assumptions!$K$4,AND($H29&lt;&gt;"",OR($H29&lt;$B29,$H29&gt;Assumptions!$K$4))),"CHECK DATES",IF($L29="Closed",IF($O29="","CHECK CLOSURE DATE",IF(OR($O29&lt;$B29,$O29&gt;Assumptions!$K$4),"CHECK DATES",IF($O29&lt;=$N29,"Closed within target","Closed past target"))),IF($O29&lt;&gt;"","CHECK CLOSURE STATUS",IF($N29&lt;Assumptions!$K$4,"OVERDUE — HUMAN CHECK","Open within target")))),"CHECK DATES")))))</f>
        <v/>
      </c>
      <c r="R29" s="14" t="n"/>
      <c r="S29" s="16" t="n"/>
    </row>
    <row r="30" ht="30" customHeight="1">
      <c r="A30" s="14" t="n"/>
      <c r="B30" s="15" t="n"/>
      <c r="C30" s="14" t="n"/>
      <c r="D30" s="14" t="n"/>
      <c r="E30" s="14" t="n"/>
      <c r="F30" s="16" t="n"/>
      <c r="G30" s="14" t="n"/>
      <c r="H30" s="15" t="n"/>
      <c r="I30" s="16" t="n"/>
      <c r="J30" s="16" t="n"/>
      <c r="K30" s="17" t="n"/>
      <c r="L30" s="14" t="n"/>
      <c r="M30" s="18">
        <f>IF($A30="","",IF($E30="","",IFERROR(VLOOKUP($E30,Assumptions!$A$4:$B$10,2,FALSE),"")))</f>
        <v/>
      </c>
      <c r="N30" s="19">
        <f>IF(OR($A30="",$B30="",$M30=""),"",IFERROR($B30+$M30,""))</f>
        <v/>
      </c>
      <c r="O30" s="15" t="n"/>
      <c r="P30" s="18">
        <f>IF($A30="","",IF(OR($B30="",$L30=""),"",IFERROR(IF($L30="Closed",IF($O30="","",MAX(0,$O30-$B30)),IF(Assumptions!$K$4="","",MAX(0,Assumptions!$K$4-$B30))),"")))</f>
        <v/>
      </c>
      <c r="Q30" s="20">
        <f>IF($A30="","",IF(OR($B30="",$E30="",$G30="",$L30="",$M30="",$N30=""),"CHECK REQUIRED",IF(COUNTIF(Assumptions!$D$4:$D$7,$L30)=0,"CHECK STATUS",IF(Assumptions!$K$4="","CHECK AS-OF DATE",IFERROR(IF(OR($B30&gt;Assumptions!$K$4,AND($H30&lt;&gt;"",OR($H30&lt;$B30,$H30&gt;Assumptions!$K$4))),"CHECK DATES",IF($L30="Closed",IF($O30="","CHECK CLOSURE DATE",IF(OR($O30&lt;$B30,$O30&gt;Assumptions!$K$4),"CHECK DATES",IF($O30&lt;=$N30,"Closed within target","Closed past target"))),IF($O30&lt;&gt;"","CHECK CLOSURE STATUS",IF($N30&lt;Assumptions!$K$4,"OVERDUE — HUMAN CHECK","Open within target")))),"CHECK DATES")))))</f>
        <v/>
      </c>
      <c r="R30" s="14" t="n"/>
      <c r="S30" s="16" t="n"/>
    </row>
    <row r="31" ht="30" customHeight="1">
      <c r="A31" s="14" t="n"/>
      <c r="B31" s="15" t="n"/>
      <c r="C31" s="14" t="n"/>
      <c r="D31" s="14" t="n"/>
      <c r="E31" s="14" t="n"/>
      <c r="F31" s="16" t="n"/>
      <c r="G31" s="14" t="n"/>
      <c r="H31" s="15" t="n"/>
      <c r="I31" s="16" t="n"/>
      <c r="J31" s="16" t="n"/>
      <c r="K31" s="17" t="n"/>
      <c r="L31" s="14" t="n"/>
      <c r="M31" s="21">
        <f>IF($A31="","",IF($E31="","",IFERROR(VLOOKUP($E31,Assumptions!$A$4:$B$10,2,FALSE),"")))</f>
        <v/>
      </c>
      <c r="N31" s="22">
        <f>IF(OR($A31="",$B31="",$M31=""),"",IFERROR($B31+$M31,""))</f>
        <v/>
      </c>
      <c r="O31" s="15" t="n"/>
      <c r="P31" s="21">
        <f>IF($A31="","",IF(OR($B31="",$L31=""),"",IFERROR(IF($L31="Closed",IF($O31="","",MAX(0,$O31-$B31)),IF(Assumptions!$K$4="","",MAX(0,Assumptions!$K$4-$B31))),"")))</f>
        <v/>
      </c>
      <c r="Q31" s="23">
        <f>IF($A31="","",IF(OR($B31="",$E31="",$G31="",$L31="",$M31="",$N31=""),"CHECK REQUIRED",IF(COUNTIF(Assumptions!$D$4:$D$7,$L31)=0,"CHECK STATUS",IF(Assumptions!$K$4="","CHECK AS-OF DATE",IFERROR(IF(OR($B31&gt;Assumptions!$K$4,AND($H31&lt;&gt;"",OR($H31&lt;$B31,$H31&gt;Assumptions!$K$4))),"CHECK DATES",IF($L31="Closed",IF($O31="","CHECK CLOSURE DATE",IF(OR($O31&lt;$B31,$O31&gt;Assumptions!$K$4),"CHECK DATES",IF($O31&lt;=$N31,"Closed within target","Closed past target"))),IF($O31&lt;&gt;"","CHECK CLOSURE STATUS",IF($N31&lt;Assumptions!$K$4,"OVERDUE — HUMAN CHECK","Open within target")))),"CHECK DATES")))))</f>
        <v/>
      </c>
      <c r="R31" s="14" t="n"/>
      <c r="S31" s="16" t="n"/>
    </row>
    <row r="32" ht="30" customHeight="1">
      <c r="A32" s="14" t="n"/>
      <c r="B32" s="15" t="n"/>
      <c r="C32" s="14" t="n"/>
      <c r="D32" s="14" t="n"/>
      <c r="E32" s="14" t="n"/>
      <c r="F32" s="16" t="n"/>
      <c r="G32" s="14" t="n"/>
      <c r="H32" s="15" t="n"/>
      <c r="I32" s="16" t="n"/>
      <c r="J32" s="16" t="n"/>
      <c r="K32" s="17" t="n"/>
      <c r="L32" s="14" t="n"/>
      <c r="M32" s="18">
        <f>IF($A32="","",IF($E32="","",IFERROR(VLOOKUP($E32,Assumptions!$A$4:$B$10,2,FALSE),"")))</f>
        <v/>
      </c>
      <c r="N32" s="19">
        <f>IF(OR($A32="",$B32="",$M32=""),"",IFERROR($B32+$M32,""))</f>
        <v/>
      </c>
      <c r="O32" s="15" t="n"/>
      <c r="P32" s="18">
        <f>IF($A32="","",IF(OR($B32="",$L32=""),"",IFERROR(IF($L32="Closed",IF($O32="","",MAX(0,$O32-$B32)),IF(Assumptions!$K$4="","",MAX(0,Assumptions!$K$4-$B32))),"")))</f>
        <v/>
      </c>
      <c r="Q32" s="20">
        <f>IF($A32="","",IF(OR($B32="",$E32="",$G32="",$L32="",$M32="",$N32=""),"CHECK REQUIRED",IF(COUNTIF(Assumptions!$D$4:$D$7,$L32)=0,"CHECK STATUS",IF(Assumptions!$K$4="","CHECK AS-OF DATE",IFERROR(IF(OR($B32&gt;Assumptions!$K$4,AND($H32&lt;&gt;"",OR($H32&lt;$B32,$H32&gt;Assumptions!$K$4))),"CHECK DATES",IF($L32="Closed",IF($O32="","CHECK CLOSURE DATE",IF(OR($O32&lt;$B32,$O32&gt;Assumptions!$K$4),"CHECK DATES",IF($O32&lt;=$N32,"Closed within target","Closed past target"))),IF($O32&lt;&gt;"","CHECK CLOSURE STATUS",IF($N32&lt;Assumptions!$K$4,"OVERDUE — HUMAN CHECK","Open within target")))),"CHECK DATES")))))</f>
        <v/>
      </c>
      <c r="R32" s="14" t="n"/>
      <c r="S32" s="16" t="n"/>
    </row>
    <row r="33" ht="30" customHeight="1">
      <c r="A33" s="14" t="n"/>
      <c r="B33" s="15" t="n"/>
      <c r="C33" s="14" t="n"/>
      <c r="D33" s="14" t="n"/>
      <c r="E33" s="14" t="n"/>
      <c r="F33" s="16" t="n"/>
      <c r="G33" s="14" t="n"/>
      <c r="H33" s="15" t="n"/>
      <c r="I33" s="16" t="n"/>
      <c r="J33" s="16" t="n"/>
      <c r="K33" s="17" t="n"/>
      <c r="L33" s="14" t="n"/>
      <c r="M33" s="21">
        <f>IF($A33="","",IF($E33="","",IFERROR(VLOOKUP($E33,Assumptions!$A$4:$B$10,2,FALSE),"")))</f>
        <v/>
      </c>
      <c r="N33" s="22">
        <f>IF(OR($A33="",$B33="",$M33=""),"",IFERROR($B33+$M33,""))</f>
        <v/>
      </c>
      <c r="O33" s="15" t="n"/>
      <c r="P33" s="21">
        <f>IF($A33="","",IF(OR($B33="",$L33=""),"",IFERROR(IF($L33="Closed",IF($O33="","",MAX(0,$O33-$B33)),IF(Assumptions!$K$4="","",MAX(0,Assumptions!$K$4-$B33))),"")))</f>
        <v/>
      </c>
      <c r="Q33" s="23">
        <f>IF($A33="","",IF(OR($B33="",$E33="",$G33="",$L33="",$M33="",$N33=""),"CHECK REQUIRED",IF(COUNTIF(Assumptions!$D$4:$D$7,$L33)=0,"CHECK STATUS",IF(Assumptions!$K$4="","CHECK AS-OF DATE",IFERROR(IF(OR($B33&gt;Assumptions!$K$4,AND($H33&lt;&gt;"",OR($H33&lt;$B33,$H33&gt;Assumptions!$K$4))),"CHECK DATES",IF($L33="Closed",IF($O33="","CHECK CLOSURE DATE",IF(OR($O33&lt;$B33,$O33&gt;Assumptions!$K$4),"CHECK DATES",IF($O33&lt;=$N33,"Closed within target","Closed past target"))),IF($O33&lt;&gt;"","CHECK CLOSURE STATUS",IF($N33&lt;Assumptions!$K$4,"OVERDUE — HUMAN CHECK","Open within target")))),"CHECK DATES")))))</f>
        <v/>
      </c>
      <c r="R33" s="14" t="n"/>
      <c r="S33" s="16" t="n"/>
    </row>
    <row r="34" ht="30" customHeight="1">
      <c r="A34" s="14" t="n"/>
      <c r="B34" s="15" t="n"/>
      <c r="C34" s="14" t="n"/>
      <c r="D34" s="14" t="n"/>
      <c r="E34" s="14" t="n"/>
      <c r="F34" s="16" t="n"/>
      <c r="G34" s="14" t="n"/>
      <c r="H34" s="15" t="n"/>
      <c r="I34" s="16" t="n"/>
      <c r="J34" s="16" t="n"/>
      <c r="K34" s="17" t="n"/>
      <c r="L34" s="14" t="n"/>
      <c r="M34" s="18">
        <f>IF($A34="","",IF($E34="","",IFERROR(VLOOKUP($E34,Assumptions!$A$4:$B$10,2,FALSE),"")))</f>
        <v/>
      </c>
      <c r="N34" s="19">
        <f>IF(OR($A34="",$B34="",$M34=""),"",IFERROR($B34+$M34,""))</f>
        <v/>
      </c>
      <c r="O34" s="15" t="n"/>
      <c r="P34" s="18">
        <f>IF($A34="","",IF(OR($B34="",$L34=""),"",IFERROR(IF($L34="Closed",IF($O34="","",MAX(0,$O34-$B34)),IF(Assumptions!$K$4="","",MAX(0,Assumptions!$K$4-$B34))),"")))</f>
        <v/>
      </c>
      <c r="Q34" s="20">
        <f>IF($A34="","",IF(OR($B34="",$E34="",$G34="",$L34="",$M34="",$N34=""),"CHECK REQUIRED",IF(COUNTIF(Assumptions!$D$4:$D$7,$L34)=0,"CHECK STATUS",IF(Assumptions!$K$4="","CHECK AS-OF DATE",IFERROR(IF(OR($B34&gt;Assumptions!$K$4,AND($H34&lt;&gt;"",OR($H34&lt;$B34,$H34&gt;Assumptions!$K$4))),"CHECK DATES",IF($L34="Closed",IF($O34="","CHECK CLOSURE DATE",IF(OR($O34&lt;$B34,$O34&gt;Assumptions!$K$4),"CHECK DATES",IF($O34&lt;=$N34,"Closed within target","Closed past target"))),IF($O34&lt;&gt;"","CHECK CLOSURE STATUS",IF($N34&lt;Assumptions!$K$4,"OVERDUE — HUMAN CHECK","Open within target")))),"CHECK DATES")))))</f>
        <v/>
      </c>
      <c r="R34" s="14" t="n"/>
      <c r="S34" s="16" t="n"/>
    </row>
    <row r="35" ht="30" customHeight="1">
      <c r="A35" s="14" t="n"/>
      <c r="B35" s="15" t="n"/>
      <c r="C35" s="14" t="n"/>
      <c r="D35" s="14" t="n"/>
      <c r="E35" s="14" t="n"/>
      <c r="F35" s="16" t="n"/>
      <c r="G35" s="14" t="n"/>
      <c r="H35" s="15" t="n"/>
      <c r="I35" s="16" t="n"/>
      <c r="J35" s="16" t="n"/>
      <c r="K35" s="17" t="n"/>
      <c r="L35" s="14" t="n"/>
      <c r="M35" s="21">
        <f>IF($A35="","",IF($E35="","",IFERROR(VLOOKUP($E35,Assumptions!$A$4:$B$10,2,FALSE),"")))</f>
        <v/>
      </c>
      <c r="N35" s="22">
        <f>IF(OR($A35="",$B35="",$M35=""),"",IFERROR($B35+$M35,""))</f>
        <v/>
      </c>
      <c r="O35" s="15" t="n"/>
      <c r="P35" s="21">
        <f>IF($A35="","",IF(OR($B35="",$L35=""),"",IFERROR(IF($L35="Closed",IF($O35="","",MAX(0,$O35-$B35)),IF(Assumptions!$K$4="","",MAX(0,Assumptions!$K$4-$B35))),"")))</f>
        <v/>
      </c>
      <c r="Q35" s="23">
        <f>IF($A35="","",IF(OR($B35="",$E35="",$G35="",$L35="",$M35="",$N35=""),"CHECK REQUIRED",IF(COUNTIF(Assumptions!$D$4:$D$7,$L35)=0,"CHECK STATUS",IF(Assumptions!$K$4="","CHECK AS-OF DATE",IFERROR(IF(OR($B35&gt;Assumptions!$K$4,AND($H35&lt;&gt;"",OR($H35&lt;$B35,$H35&gt;Assumptions!$K$4))),"CHECK DATES",IF($L35="Closed",IF($O35="","CHECK CLOSURE DATE",IF(OR($O35&lt;$B35,$O35&gt;Assumptions!$K$4),"CHECK DATES",IF($O35&lt;=$N35,"Closed within target","Closed past target"))),IF($O35&lt;&gt;"","CHECK CLOSURE STATUS",IF($N35&lt;Assumptions!$K$4,"OVERDUE — HUMAN CHECK","Open within target")))),"CHECK DATES")))))</f>
        <v/>
      </c>
      <c r="R35" s="14" t="n"/>
      <c r="S35" s="16" t="n"/>
    </row>
    <row r="36" ht="30" customHeight="1">
      <c r="A36" s="14" t="n"/>
      <c r="B36" s="15" t="n"/>
      <c r="C36" s="14" t="n"/>
      <c r="D36" s="14" t="n"/>
      <c r="E36" s="14" t="n"/>
      <c r="F36" s="16" t="n"/>
      <c r="G36" s="14" t="n"/>
      <c r="H36" s="15" t="n"/>
      <c r="I36" s="16" t="n"/>
      <c r="J36" s="16" t="n"/>
      <c r="K36" s="17" t="n"/>
      <c r="L36" s="14" t="n"/>
      <c r="M36" s="18">
        <f>IF($A36="","",IF($E36="","",IFERROR(VLOOKUP($E36,Assumptions!$A$4:$B$10,2,FALSE),"")))</f>
        <v/>
      </c>
      <c r="N36" s="19">
        <f>IF(OR($A36="",$B36="",$M36=""),"",IFERROR($B36+$M36,""))</f>
        <v/>
      </c>
      <c r="O36" s="15" t="n"/>
      <c r="P36" s="18">
        <f>IF($A36="","",IF(OR($B36="",$L36=""),"",IFERROR(IF($L36="Closed",IF($O36="","",MAX(0,$O36-$B36)),IF(Assumptions!$K$4="","",MAX(0,Assumptions!$K$4-$B36))),"")))</f>
        <v/>
      </c>
      <c r="Q36" s="20">
        <f>IF($A36="","",IF(OR($B36="",$E36="",$G36="",$L36="",$M36="",$N36=""),"CHECK REQUIRED",IF(COUNTIF(Assumptions!$D$4:$D$7,$L36)=0,"CHECK STATUS",IF(Assumptions!$K$4="","CHECK AS-OF DATE",IFERROR(IF(OR($B36&gt;Assumptions!$K$4,AND($H36&lt;&gt;"",OR($H36&lt;$B36,$H36&gt;Assumptions!$K$4))),"CHECK DATES",IF($L36="Closed",IF($O36="","CHECK CLOSURE DATE",IF(OR($O36&lt;$B36,$O36&gt;Assumptions!$K$4),"CHECK DATES",IF($O36&lt;=$N36,"Closed within target","Closed past target"))),IF($O36&lt;&gt;"","CHECK CLOSURE STATUS",IF($N36&lt;Assumptions!$K$4,"OVERDUE — HUMAN CHECK","Open within target")))),"CHECK DATES")))))</f>
        <v/>
      </c>
      <c r="R36" s="14" t="n"/>
      <c r="S36" s="16" t="n"/>
    </row>
    <row r="37" ht="30" customHeight="1">
      <c r="A37" s="14" t="n"/>
      <c r="B37" s="15" t="n"/>
      <c r="C37" s="14" t="n"/>
      <c r="D37" s="14" t="n"/>
      <c r="E37" s="14" t="n"/>
      <c r="F37" s="16" t="n"/>
      <c r="G37" s="14" t="n"/>
      <c r="H37" s="15" t="n"/>
      <c r="I37" s="16" t="n"/>
      <c r="J37" s="16" t="n"/>
      <c r="K37" s="17" t="n"/>
      <c r="L37" s="14" t="n"/>
      <c r="M37" s="21">
        <f>IF($A37="","",IF($E37="","",IFERROR(VLOOKUP($E37,Assumptions!$A$4:$B$10,2,FALSE),"")))</f>
        <v/>
      </c>
      <c r="N37" s="22">
        <f>IF(OR($A37="",$B37="",$M37=""),"",IFERROR($B37+$M37,""))</f>
        <v/>
      </c>
      <c r="O37" s="15" t="n"/>
      <c r="P37" s="21">
        <f>IF($A37="","",IF(OR($B37="",$L37=""),"",IFERROR(IF($L37="Closed",IF($O37="","",MAX(0,$O37-$B37)),IF(Assumptions!$K$4="","",MAX(0,Assumptions!$K$4-$B37))),"")))</f>
        <v/>
      </c>
      <c r="Q37" s="23">
        <f>IF($A37="","",IF(OR($B37="",$E37="",$G37="",$L37="",$M37="",$N37=""),"CHECK REQUIRED",IF(COUNTIF(Assumptions!$D$4:$D$7,$L37)=0,"CHECK STATUS",IF(Assumptions!$K$4="","CHECK AS-OF DATE",IFERROR(IF(OR($B37&gt;Assumptions!$K$4,AND($H37&lt;&gt;"",OR($H37&lt;$B37,$H37&gt;Assumptions!$K$4))),"CHECK DATES",IF($L37="Closed",IF($O37="","CHECK CLOSURE DATE",IF(OR($O37&lt;$B37,$O37&gt;Assumptions!$K$4),"CHECK DATES",IF($O37&lt;=$N37,"Closed within target","Closed past target"))),IF($O37&lt;&gt;"","CHECK CLOSURE STATUS",IF($N37&lt;Assumptions!$K$4,"OVERDUE — HUMAN CHECK","Open within target")))),"CHECK DATES")))))</f>
        <v/>
      </c>
      <c r="R37" s="14" t="n"/>
      <c r="S37" s="16" t="n"/>
    </row>
    <row r="38" ht="30" customHeight="1">
      <c r="A38" s="14" t="n"/>
      <c r="B38" s="15" t="n"/>
      <c r="C38" s="14" t="n"/>
      <c r="D38" s="14" t="n"/>
      <c r="E38" s="14" t="n"/>
      <c r="F38" s="16" t="n"/>
      <c r="G38" s="14" t="n"/>
      <c r="H38" s="15" t="n"/>
      <c r="I38" s="16" t="n"/>
      <c r="J38" s="16" t="n"/>
      <c r="K38" s="17" t="n"/>
      <c r="L38" s="14" t="n"/>
      <c r="M38" s="18">
        <f>IF($A38="","",IF($E38="","",IFERROR(VLOOKUP($E38,Assumptions!$A$4:$B$10,2,FALSE),"")))</f>
        <v/>
      </c>
      <c r="N38" s="19">
        <f>IF(OR($A38="",$B38="",$M38=""),"",IFERROR($B38+$M38,""))</f>
        <v/>
      </c>
      <c r="O38" s="15" t="n"/>
      <c r="P38" s="18">
        <f>IF($A38="","",IF(OR($B38="",$L38=""),"",IFERROR(IF($L38="Closed",IF($O38="","",MAX(0,$O38-$B38)),IF(Assumptions!$K$4="","",MAX(0,Assumptions!$K$4-$B38))),"")))</f>
        <v/>
      </c>
      <c r="Q38" s="20">
        <f>IF($A38="","",IF(OR($B38="",$E38="",$G38="",$L38="",$M38="",$N38=""),"CHECK REQUIRED",IF(COUNTIF(Assumptions!$D$4:$D$7,$L38)=0,"CHECK STATUS",IF(Assumptions!$K$4="","CHECK AS-OF DATE",IFERROR(IF(OR($B38&gt;Assumptions!$K$4,AND($H38&lt;&gt;"",OR($H38&lt;$B38,$H38&gt;Assumptions!$K$4))),"CHECK DATES",IF($L38="Closed",IF($O38="","CHECK CLOSURE DATE",IF(OR($O38&lt;$B38,$O38&gt;Assumptions!$K$4),"CHECK DATES",IF($O38&lt;=$N38,"Closed within target","Closed past target"))),IF($O38&lt;&gt;"","CHECK CLOSURE STATUS",IF($N38&lt;Assumptions!$K$4,"OVERDUE — HUMAN CHECK","Open within target")))),"CHECK DATES")))))</f>
        <v/>
      </c>
      <c r="R38" s="14" t="n"/>
      <c r="S38" s="16" t="n"/>
    </row>
    <row r="39" ht="30" customHeight="1">
      <c r="A39" s="14" t="n"/>
      <c r="B39" s="15" t="n"/>
      <c r="C39" s="14" t="n"/>
      <c r="D39" s="14" t="n"/>
      <c r="E39" s="14" t="n"/>
      <c r="F39" s="16" t="n"/>
      <c r="G39" s="14" t="n"/>
      <c r="H39" s="15" t="n"/>
      <c r="I39" s="16" t="n"/>
      <c r="J39" s="16" t="n"/>
      <c r="K39" s="17" t="n"/>
      <c r="L39" s="14" t="n"/>
      <c r="M39" s="21">
        <f>IF($A39="","",IF($E39="","",IFERROR(VLOOKUP($E39,Assumptions!$A$4:$B$10,2,FALSE),"")))</f>
        <v/>
      </c>
      <c r="N39" s="22">
        <f>IF(OR($A39="",$B39="",$M39=""),"",IFERROR($B39+$M39,""))</f>
        <v/>
      </c>
      <c r="O39" s="15" t="n"/>
      <c r="P39" s="21">
        <f>IF($A39="","",IF(OR($B39="",$L39=""),"",IFERROR(IF($L39="Closed",IF($O39="","",MAX(0,$O39-$B39)),IF(Assumptions!$K$4="","",MAX(0,Assumptions!$K$4-$B39))),"")))</f>
        <v/>
      </c>
      <c r="Q39" s="23">
        <f>IF($A39="","",IF(OR($B39="",$E39="",$G39="",$L39="",$M39="",$N39=""),"CHECK REQUIRED",IF(COUNTIF(Assumptions!$D$4:$D$7,$L39)=0,"CHECK STATUS",IF(Assumptions!$K$4="","CHECK AS-OF DATE",IFERROR(IF(OR($B39&gt;Assumptions!$K$4,AND($H39&lt;&gt;"",OR($H39&lt;$B39,$H39&gt;Assumptions!$K$4))),"CHECK DATES",IF($L39="Closed",IF($O39="","CHECK CLOSURE DATE",IF(OR($O39&lt;$B39,$O39&gt;Assumptions!$K$4),"CHECK DATES",IF($O39&lt;=$N39,"Closed within target","Closed past target"))),IF($O39&lt;&gt;"","CHECK CLOSURE STATUS",IF($N39&lt;Assumptions!$K$4,"OVERDUE — HUMAN CHECK","Open within target")))),"CHECK DATES")))))</f>
        <v/>
      </c>
      <c r="R39" s="14" t="n"/>
      <c r="S39" s="16" t="n"/>
    </row>
    <row r="40" ht="30" customHeight="1">
      <c r="A40" s="14" t="n"/>
      <c r="B40" s="15" t="n"/>
      <c r="C40" s="14" t="n"/>
      <c r="D40" s="14" t="n"/>
      <c r="E40" s="14" t="n"/>
      <c r="F40" s="16" t="n"/>
      <c r="G40" s="14" t="n"/>
      <c r="H40" s="15" t="n"/>
      <c r="I40" s="16" t="n"/>
      <c r="J40" s="16" t="n"/>
      <c r="K40" s="17" t="n"/>
      <c r="L40" s="14" t="n"/>
      <c r="M40" s="18">
        <f>IF($A40="","",IF($E40="","",IFERROR(VLOOKUP($E40,Assumptions!$A$4:$B$10,2,FALSE),"")))</f>
        <v/>
      </c>
      <c r="N40" s="19">
        <f>IF(OR($A40="",$B40="",$M40=""),"",IFERROR($B40+$M40,""))</f>
        <v/>
      </c>
      <c r="O40" s="15" t="n"/>
      <c r="P40" s="18">
        <f>IF($A40="","",IF(OR($B40="",$L40=""),"",IFERROR(IF($L40="Closed",IF($O40="","",MAX(0,$O40-$B40)),IF(Assumptions!$K$4="","",MAX(0,Assumptions!$K$4-$B40))),"")))</f>
        <v/>
      </c>
      <c r="Q40" s="20">
        <f>IF($A40="","",IF(OR($B40="",$E40="",$G40="",$L40="",$M40="",$N40=""),"CHECK REQUIRED",IF(COUNTIF(Assumptions!$D$4:$D$7,$L40)=0,"CHECK STATUS",IF(Assumptions!$K$4="","CHECK AS-OF DATE",IFERROR(IF(OR($B40&gt;Assumptions!$K$4,AND($H40&lt;&gt;"",OR($H40&lt;$B40,$H40&gt;Assumptions!$K$4))),"CHECK DATES",IF($L40="Closed",IF($O40="","CHECK CLOSURE DATE",IF(OR($O40&lt;$B40,$O40&gt;Assumptions!$K$4),"CHECK DATES",IF($O40&lt;=$N40,"Closed within target","Closed past target"))),IF($O40&lt;&gt;"","CHECK CLOSURE STATUS",IF($N40&lt;Assumptions!$K$4,"OVERDUE — HUMAN CHECK","Open within target")))),"CHECK DATES")))))</f>
        <v/>
      </c>
      <c r="R40" s="14" t="n"/>
      <c r="S40" s="16" t="n"/>
    </row>
    <row r="41" ht="30" customHeight="1">
      <c r="A41" s="14" t="n"/>
      <c r="B41" s="15" t="n"/>
      <c r="C41" s="14" t="n"/>
      <c r="D41" s="14" t="n"/>
      <c r="E41" s="14" t="n"/>
      <c r="F41" s="16" t="n"/>
      <c r="G41" s="14" t="n"/>
      <c r="H41" s="15" t="n"/>
      <c r="I41" s="16" t="n"/>
      <c r="J41" s="16" t="n"/>
      <c r="K41" s="17" t="n"/>
      <c r="L41" s="14" t="n"/>
      <c r="M41" s="21">
        <f>IF($A41="","",IF($E41="","",IFERROR(VLOOKUP($E41,Assumptions!$A$4:$B$10,2,FALSE),"")))</f>
        <v/>
      </c>
      <c r="N41" s="22">
        <f>IF(OR($A41="",$B41="",$M41=""),"",IFERROR($B41+$M41,""))</f>
        <v/>
      </c>
      <c r="O41" s="15" t="n"/>
      <c r="P41" s="21">
        <f>IF($A41="","",IF(OR($B41="",$L41=""),"",IFERROR(IF($L41="Closed",IF($O41="","",MAX(0,$O41-$B41)),IF(Assumptions!$K$4="","",MAX(0,Assumptions!$K$4-$B41))),"")))</f>
        <v/>
      </c>
      <c r="Q41" s="23">
        <f>IF($A41="","",IF(OR($B41="",$E41="",$G41="",$L41="",$M41="",$N41=""),"CHECK REQUIRED",IF(COUNTIF(Assumptions!$D$4:$D$7,$L41)=0,"CHECK STATUS",IF(Assumptions!$K$4="","CHECK AS-OF DATE",IFERROR(IF(OR($B41&gt;Assumptions!$K$4,AND($H41&lt;&gt;"",OR($H41&lt;$B41,$H41&gt;Assumptions!$K$4))),"CHECK DATES",IF($L41="Closed",IF($O41="","CHECK CLOSURE DATE",IF(OR($O41&lt;$B41,$O41&gt;Assumptions!$K$4),"CHECK DATES",IF($O41&lt;=$N41,"Closed within target","Closed past target"))),IF($O41&lt;&gt;"","CHECK CLOSURE STATUS",IF($N41&lt;Assumptions!$K$4,"OVERDUE — HUMAN CHECK","Open within target")))),"CHECK DATES")))))</f>
        <v/>
      </c>
      <c r="R41" s="14" t="n"/>
      <c r="S41" s="16" t="n"/>
    </row>
    <row r="42" ht="30" customHeight="1">
      <c r="A42" s="14" t="n"/>
      <c r="B42" s="15" t="n"/>
      <c r="C42" s="14" t="n"/>
      <c r="D42" s="14" t="n"/>
      <c r="E42" s="14" t="n"/>
      <c r="F42" s="16" t="n"/>
      <c r="G42" s="14" t="n"/>
      <c r="H42" s="15" t="n"/>
      <c r="I42" s="16" t="n"/>
      <c r="J42" s="16" t="n"/>
      <c r="K42" s="17" t="n"/>
      <c r="L42" s="14" t="n"/>
      <c r="M42" s="18">
        <f>IF($A42="","",IF($E42="","",IFERROR(VLOOKUP($E42,Assumptions!$A$4:$B$10,2,FALSE),"")))</f>
        <v/>
      </c>
      <c r="N42" s="19">
        <f>IF(OR($A42="",$B42="",$M42=""),"",IFERROR($B42+$M42,""))</f>
        <v/>
      </c>
      <c r="O42" s="15" t="n"/>
      <c r="P42" s="18">
        <f>IF($A42="","",IF(OR($B42="",$L42=""),"",IFERROR(IF($L42="Closed",IF($O42="","",MAX(0,$O42-$B42)),IF(Assumptions!$K$4="","",MAX(0,Assumptions!$K$4-$B42))),"")))</f>
        <v/>
      </c>
      <c r="Q42" s="20">
        <f>IF($A42="","",IF(OR($B42="",$E42="",$G42="",$L42="",$M42="",$N42=""),"CHECK REQUIRED",IF(COUNTIF(Assumptions!$D$4:$D$7,$L42)=0,"CHECK STATUS",IF(Assumptions!$K$4="","CHECK AS-OF DATE",IFERROR(IF(OR($B42&gt;Assumptions!$K$4,AND($H42&lt;&gt;"",OR($H42&lt;$B42,$H42&gt;Assumptions!$K$4))),"CHECK DATES",IF($L42="Closed",IF($O42="","CHECK CLOSURE DATE",IF(OR($O42&lt;$B42,$O42&gt;Assumptions!$K$4),"CHECK DATES",IF($O42&lt;=$N42,"Closed within target","Closed past target"))),IF($O42&lt;&gt;"","CHECK CLOSURE STATUS",IF($N42&lt;Assumptions!$K$4,"OVERDUE — HUMAN CHECK","Open within target")))),"CHECK DATES")))))</f>
        <v/>
      </c>
      <c r="R42" s="14" t="n"/>
      <c r="S42" s="16" t="n"/>
    </row>
    <row r="43" ht="30" customHeight="1">
      <c r="A43" s="14" t="n"/>
      <c r="B43" s="15" t="n"/>
      <c r="C43" s="14" t="n"/>
      <c r="D43" s="14" t="n"/>
      <c r="E43" s="14" t="n"/>
      <c r="F43" s="16" t="n"/>
      <c r="G43" s="14" t="n"/>
      <c r="H43" s="15" t="n"/>
      <c r="I43" s="16" t="n"/>
      <c r="J43" s="16" t="n"/>
      <c r="K43" s="17" t="n"/>
      <c r="L43" s="14" t="n"/>
      <c r="M43" s="21">
        <f>IF($A43="","",IF($E43="","",IFERROR(VLOOKUP($E43,Assumptions!$A$4:$B$10,2,FALSE),"")))</f>
        <v/>
      </c>
      <c r="N43" s="22">
        <f>IF(OR($A43="",$B43="",$M43=""),"",IFERROR($B43+$M43,""))</f>
        <v/>
      </c>
      <c r="O43" s="15" t="n"/>
      <c r="P43" s="21">
        <f>IF($A43="","",IF(OR($B43="",$L43=""),"",IFERROR(IF($L43="Closed",IF($O43="","",MAX(0,$O43-$B43)),IF(Assumptions!$K$4="","",MAX(0,Assumptions!$K$4-$B43))),"")))</f>
        <v/>
      </c>
      <c r="Q43" s="23">
        <f>IF($A43="","",IF(OR($B43="",$E43="",$G43="",$L43="",$M43="",$N43=""),"CHECK REQUIRED",IF(COUNTIF(Assumptions!$D$4:$D$7,$L43)=0,"CHECK STATUS",IF(Assumptions!$K$4="","CHECK AS-OF DATE",IFERROR(IF(OR($B43&gt;Assumptions!$K$4,AND($H43&lt;&gt;"",OR($H43&lt;$B43,$H43&gt;Assumptions!$K$4))),"CHECK DATES",IF($L43="Closed",IF($O43="","CHECK CLOSURE DATE",IF(OR($O43&lt;$B43,$O43&gt;Assumptions!$K$4),"CHECK DATES",IF($O43&lt;=$N43,"Closed within target","Closed past target"))),IF($O43&lt;&gt;"","CHECK CLOSURE STATUS",IF($N43&lt;Assumptions!$K$4,"OVERDUE — HUMAN CHECK","Open within target")))),"CHECK DATES")))))</f>
        <v/>
      </c>
      <c r="R43" s="14" t="n"/>
      <c r="S43" s="16" t="n"/>
    </row>
    <row r="44" ht="30" customHeight="1">
      <c r="A44" s="14" t="n"/>
      <c r="B44" s="15" t="n"/>
      <c r="C44" s="14" t="n"/>
      <c r="D44" s="14" t="n"/>
      <c r="E44" s="14" t="n"/>
      <c r="F44" s="16" t="n"/>
      <c r="G44" s="14" t="n"/>
      <c r="H44" s="15" t="n"/>
      <c r="I44" s="16" t="n"/>
      <c r="J44" s="16" t="n"/>
      <c r="K44" s="17" t="n"/>
      <c r="L44" s="14" t="n"/>
      <c r="M44" s="18">
        <f>IF($A44="","",IF($E44="","",IFERROR(VLOOKUP($E44,Assumptions!$A$4:$B$10,2,FALSE),"")))</f>
        <v/>
      </c>
      <c r="N44" s="19">
        <f>IF(OR($A44="",$B44="",$M44=""),"",IFERROR($B44+$M44,""))</f>
        <v/>
      </c>
      <c r="O44" s="15" t="n"/>
      <c r="P44" s="18">
        <f>IF($A44="","",IF(OR($B44="",$L44=""),"",IFERROR(IF($L44="Closed",IF($O44="","",MAX(0,$O44-$B44)),IF(Assumptions!$K$4="","",MAX(0,Assumptions!$K$4-$B44))),"")))</f>
        <v/>
      </c>
      <c r="Q44" s="20">
        <f>IF($A44="","",IF(OR($B44="",$E44="",$G44="",$L44="",$M44="",$N44=""),"CHECK REQUIRED",IF(COUNTIF(Assumptions!$D$4:$D$7,$L44)=0,"CHECK STATUS",IF(Assumptions!$K$4="","CHECK AS-OF DATE",IFERROR(IF(OR($B44&gt;Assumptions!$K$4,AND($H44&lt;&gt;"",OR($H44&lt;$B44,$H44&gt;Assumptions!$K$4))),"CHECK DATES",IF($L44="Closed",IF($O44="","CHECK CLOSURE DATE",IF(OR($O44&lt;$B44,$O44&gt;Assumptions!$K$4),"CHECK DATES",IF($O44&lt;=$N44,"Closed within target","Closed past target"))),IF($O44&lt;&gt;"","CHECK CLOSURE STATUS",IF($N44&lt;Assumptions!$K$4,"OVERDUE — HUMAN CHECK","Open within target")))),"CHECK DATES")))))</f>
        <v/>
      </c>
      <c r="R44" s="14" t="n"/>
      <c r="S44" s="16" t="n"/>
    </row>
    <row r="45" ht="30" customHeight="1">
      <c r="A45" s="14" t="n"/>
      <c r="B45" s="15" t="n"/>
      <c r="C45" s="14" t="n"/>
      <c r="D45" s="14" t="n"/>
      <c r="E45" s="14" t="n"/>
      <c r="F45" s="16" t="n"/>
      <c r="G45" s="14" t="n"/>
      <c r="H45" s="15" t="n"/>
      <c r="I45" s="16" t="n"/>
      <c r="J45" s="16" t="n"/>
      <c r="K45" s="17" t="n"/>
      <c r="L45" s="14" t="n"/>
      <c r="M45" s="21">
        <f>IF($A45="","",IF($E45="","",IFERROR(VLOOKUP($E45,Assumptions!$A$4:$B$10,2,FALSE),"")))</f>
        <v/>
      </c>
      <c r="N45" s="22">
        <f>IF(OR($A45="",$B45="",$M45=""),"",IFERROR($B45+$M45,""))</f>
        <v/>
      </c>
      <c r="O45" s="15" t="n"/>
      <c r="P45" s="21">
        <f>IF($A45="","",IF(OR($B45="",$L45=""),"",IFERROR(IF($L45="Closed",IF($O45="","",MAX(0,$O45-$B45)),IF(Assumptions!$K$4="","",MAX(0,Assumptions!$K$4-$B45))),"")))</f>
        <v/>
      </c>
      <c r="Q45" s="23">
        <f>IF($A45="","",IF(OR($B45="",$E45="",$G45="",$L45="",$M45="",$N45=""),"CHECK REQUIRED",IF(COUNTIF(Assumptions!$D$4:$D$7,$L45)=0,"CHECK STATUS",IF(Assumptions!$K$4="","CHECK AS-OF DATE",IFERROR(IF(OR($B45&gt;Assumptions!$K$4,AND($H45&lt;&gt;"",OR($H45&lt;$B45,$H45&gt;Assumptions!$K$4))),"CHECK DATES",IF($L45="Closed",IF($O45="","CHECK CLOSURE DATE",IF(OR($O45&lt;$B45,$O45&gt;Assumptions!$K$4),"CHECK DATES",IF($O45&lt;=$N45,"Closed within target","Closed past target"))),IF($O45&lt;&gt;"","CHECK CLOSURE STATUS",IF($N45&lt;Assumptions!$K$4,"OVERDUE — HUMAN CHECK","Open within target")))),"CHECK DATES")))))</f>
        <v/>
      </c>
      <c r="R45" s="14" t="n"/>
      <c r="S45" s="16" t="n"/>
    </row>
    <row r="46" ht="30" customHeight="1">
      <c r="A46" s="14" t="n"/>
      <c r="B46" s="15" t="n"/>
      <c r="C46" s="14" t="n"/>
      <c r="D46" s="14" t="n"/>
      <c r="E46" s="14" t="n"/>
      <c r="F46" s="16" t="n"/>
      <c r="G46" s="14" t="n"/>
      <c r="H46" s="15" t="n"/>
      <c r="I46" s="16" t="n"/>
      <c r="J46" s="16" t="n"/>
      <c r="K46" s="17" t="n"/>
      <c r="L46" s="14" t="n"/>
      <c r="M46" s="18">
        <f>IF($A46="","",IF($E46="","",IFERROR(VLOOKUP($E46,Assumptions!$A$4:$B$10,2,FALSE),"")))</f>
        <v/>
      </c>
      <c r="N46" s="19">
        <f>IF(OR($A46="",$B46="",$M46=""),"",IFERROR($B46+$M46,""))</f>
        <v/>
      </c>
      <c r="O46" s="15" t="n"/>
      <c r="P46" s="18">
        <f>IF($A46="","",IF(OR($B46="",$L46=""),"",IFERROR(IF($L46="Closed",IF($O46="","",MAX(0,$O46-$B46)),IF(Assumptions!$K$4="","",MAX(0,Assumptions!$K$4-$B46))),"")))</f>
        <v/>
      </c>
      <c r="Q46" s="20">
        <f>IF($A46="","",IF(OR($B46="",$E46="",$G46="",$L46="",$M46="",$N46=""),"CHECK REQUIRED",IF(COUNTIF(Assumptions!$D$4:$D$7,$L46)=0,"CHECK STATUS",IF(Assumptions!$K$4="","CHECK AS-OF DATE",IFERROR(IF(OR($B46&gt;Assumptions!$K$4,AND($H46&lt;&gt;"",OR($H46&lt;$B46,$H46&gt;Assumptions!$K$4))),"CHECK DATES",IF($L46="Closed",IF($O46="","CHECK CLOSURE DATE",IF(OR($O46&lt;$B46,$O46&gt;Assumptions!$K$4),"CHECK DATES",IF($O46&lt;=$N46,"Closed within target","Closed past target"))),IF($O46&lt;&gt;"","CHECK CLOSURE STATUS",IF($N46&lt;Assumptions!$K$4,"OVERDUE — HUMAN CHECK","Open within target")))),"CHECK DATES")))))</f>
        <v/>
      </c>
      <c r="R46" s="14" t="n"/>
      <c r="S46" s="16" t="n"/>
    </row>
    <row r="47" ht="30" customHeight="1">
      <c r="A47" s="14" t="n"/>
      <c r="B47" s="15" t="n"/>
      <c r="C47" s="14" t="n"/>
      <c r="D47" s="14" t="n"/>
      <c r="E47" s="14" t="n"/>
      <c r="F47" s="16" t="n"/>
      <c r="G47" s="14" t="n"/>
      <c r="H47" s="15" t="n"/>
      <c r="I47" s="16" t="n"/>
      <c r="J47" s="16" t="n"/>
      <c r="K47" s="17" t="n"/>
      <c r="L47" s="14" t="n"/>
      <c r="M47" s="21">
        <f>IF($A47="","",IF($E47="","",IFERROR(VLOOKUP($E47,Assumptions!$A$4:$B$10,2,FALSE),"")))</f>
        <v/>
      </c>
      <c r="N47" s="22">
        <f>IF(OR($A47="",$B47="",$M47=""),"",IFERROR($B47+$M47,""))</f>
        <v/>
      </c>
      <c r="O47" s="15" t="n"/>
      <c r="P47" s="21">
        <f>IF($A47="","",IF(OR($B47="",$L47=""),"",IFERROR(IF($L47="Closed",IF($O47="","",MAX(0,$O47-$B47)),IF(Assumptions!$K$4="","",MAX(0,Assumptions!$K$4-$B47))),"")))</f>
        <v/>
      </c>
      <c r="Q47" s="23">
        <f>IF($A47="","",IF(OR($B47="",$E47="",$G47="",$L47="",$M47="",$N47=""),"CHECK REQUIRED",IF(COUNTIF(Assumptions!$D$4:$D$7,$L47)=0,"CHECK STATUS",IF(Assumptions!$K$4="","CHECK AS-OF DATE",IFERROR(IF(OR($B47&gt;Assumptions!$K$4,AND($H47&lt;&gt;"",OR($H47&lt;$B47,$H47&gt;Assumptions!$K$4))),"CHECK DATES",IF($L47="Closed",IF($O47="","CHECK CLOSURE DATE",IF(OR($O47&lt;$B47,$O47&gt;Assumptions!$K$4),"CHECK DATES",IF($O47&lt;=$N47,"Closed within target","Closed past target"))),IF($O47&lt;&gt;"","CHECK CLOSURE STATUS",IF($N47&lt;Assumptions!$K$4,"OVERDUE — HUMAN CHECK","Open within target")))),"CHECK DATES")))))</f>
        <v/>
      </c>
      <c r="R47" s="14" t="n"/>
      <c r="S47" s="16" t="n"/>
    </row>
    <row r="48" ht="30" customHeight="1">
      <c r="A48" s="14" t="n"/>
      <c r="B48" s="15" t="n"/>
      <c r="C48" s="14" t="n"/>
      <c r="D48" s="14" t="n"/>
      <c r="E48" s="14" t="n"/>
      <c r="F48" s="16" t="n"/>
      <c r="G48" s="14" t="n"/>
      <c r="H48" s="15" t="n"/>
      <c r="I48" s="16" t="n"/>
      <c r="J48" s="16" t="n"/>
      <c r="K48" s="17" t="n"/>
      <c r="L48" s="14" t="n"/>
      <c r="M48" s="18">
        <f>IF($A48="","",IF($E48="","",IFERROR(VLOOKUP($E48,Assumptions!$A$4:$B$10,2,FALSE),"")))</f>
        <v/>
      </c>
      <c r="N48" s="19">
        <f>IF(OR($A48="",$B48="",$M48=""),"",IFERROR($B48+$M48,""))</f>
        <v/>
      </c>
      <c r="O48" s="15" t="n"/>
      <c r="P48" s="18">
        <f>IF($A48="","",IF(OR($B48="",$L48=""),"",IFERROR(IF($L48="Closed",IF($O48="","",MAX(0,$O48-$B48)),IF(Assumptions!$K$4="","",MAX(0,Assumptions!$K$4-$B48))),"")))</f>
        <v/>
      </c>
      <c r="Q48" s="20">
        <f>IF($A48="","",IF(OR($B48="",$E48="",$G48="",$L48="",$M48="",$N48=""),"CHECK REQUIRED",IF(COUNTIF(Assumptions!$D$4:$D$7,$L48)=0,"CHECK STATUS",IF(Assumptions!$K$4="","CHECK AS-OF DATE",IFERROR(IF(OR($B48&gt;Assumptions!$K$4,AND($H48&lt;&gt;"",OR($H48&lt;$B48,$H48&gt;Assumptions!$K$4))),"CHECK DATES",IF($L48="Closed",IF($O48="","CHECK CLOSURE DATE",IF(OR($O48&lt;$B48,$O48&gt;Assumptions!$K$4),"CHECK DATES",IF($O48&lt;=$N48,"Closed within target","Closed past target"))),IF($O48&lt;&gt;"","CHECK CLOSURE STATUS",IF($N48&lt;Assumptions!$K$4,"OVERDUE — HUMAN CHECK","Open within target")))),"CHECK DATES")))))</f>
        <v/>
      </c>
      <c r="R48" s="14" t="n"/>
      <c r="S48" s="16" t="n"/>
    </row>
    <row r="49" ht="30" customHeight="1">
      <c r="A49" s="14" t="n"/>
      <c r="B49" s="15" t="n"/>
      <c r="C49" s="14" t="n"/>
      <c r="D49" s="14" t="n"/>
      <c r="E49" s="14" t="n"/>
      <c r="F49" s="16" t="n"/>
      <c r="G49" s="14" t="n"/>
      <c r="H49" s="15" t="n"/>
      <c r="I49" s="16" t="n"/>
      <c r="J49" s="16" t="n"/>
      <c r="K49" s="17" t="n"/>
      <c r="L49" s="14" t="n"/>
      <c r="M49" s="21">
        <f>IF($A49="","",IF($E49="","",IFERROR(VLOOKUP($E49,Assumptions!$A$4:$B$10,2,FALSE),"")))</f>
        <v/>
      </c>
      <c r="N49" s="22">
        <f>IF(OR($A49="",$B49="",$M49=""),"",IFERROR($B49+$M49,""))</f>
        <v/>
      </c>
      <c r="O49" s="15" t="n"/>
      <c r="P49" s="21">
        <f>IF($A49="","",IF(OR($B49="",$L49=""),"",IFERROR(IF($L49="Closed",IF($O49="","",MAX(0,$O49-$B49)),IF(Assumptions!$K$4="","",MAX(0,Assumptions!$K$4-$B49))),"")))</f>
        <v/>
      </c>
      <c r="Q49" s="23">
        <f>IF($A49="","",IF(OR($B49="",$E49="",$G49="",$L49="",$M49="",$N49=""),"CHECK REQUIRED",IF(COUNTIF(Assumptions!$D$4:$D$7,$L49)=0,"CHECK STATUS",IF(Assumptions!$K$4="","CHECK AS-OF DATE",IFERROR(IF(OR($B49&gt;Assumptions!$K$4,AND($H49&lt;&gt;"",OR($H49&lt;$B49,$H49&gt;Assumptions!$K$4))),"CHECK DATES",IF($L49="Closed",IF($O49="","CHECK CLOSURE DATE",IF(OR($O49&lt;$B49,$O49&gt;Assumptions!$K$4),"CHECK DATES",IF($O49&lt;=$N49,"Closed within target","Closed past target"))),IF($O49&lt;&gt;"","CHECK CLOSURE STATUS",IF($N49&lt;Assumptions!$K$4,"OVERDUE — HUMAN CHECK","Open within target")))),"CHECK DATES")))))</f>
        <v/>
      </c>
      <c r="R49" s="14" t="n"/>
      <c r="S49" s="16" t="n"/>
    </row>
    <row r="50" ht="30" customHeight="1">
      <c r="A50" s="14" t="n"/>
      <c r="B50" s="15" t="n"/>
      <c r="C50" s="14" t="n"/>
      <c r="D50" s="14" t="n"/>
      <c r="E50" s="14" t="n"/>
      <c r="F50" s="16" t="n"/>
      <c r="G50" s="14" t="n"/>
      <c r="H50" s="15" t="n"/>
      <c r="I50" s="16" t="n"/>
      <c r="J50" s="16" t="n"/>
      <c r="K50" s="17" t="n"/>
      <c r="L50" s="14" t="n"/>
      <c r="M50" s="18">
        <f>IF($A50="","",IF($E50="","",IFERROR(VLOOKUP($E50,Assumptions!$A$4:$B$10,2,FALSE),"")))</f>
        <v/>
      </c>
      <c r="N50" s="19">
        <f>IF(OR($A50="",$B50="",$M50=""),"",IFERROR($B50+$M50,""))</f>
        <v/>
      </c>
      <c r="O50" s="15" t="n"/>
      <c r="P50" s="18">
        <f>IF($A50="","",IF(OR($B50="",$L50=""),"",IFERROR(IF($L50="Closed",IF($O50="","",MAX(0,$O50-$B50)),IF(Assumptions!$K$4="","",MAX(0,Assumptions!$K$4-$B50))),"")))</f>
        <v/>
      </c>
      <c r="Q50" s="20">
        <f>IF($A50="","",IF(OR($B50="",$E50="",$G50="",$L50="",$M50="",$N50=""),"CHECK REQUIRED",IF(COUNTIF(Assumptions!$D$4:$D$7,$L50)=0,"CHECK STATUS",IF(Assumptions!$K$4="","CHECK AS-OF DATE",IFERROR(IF(OR($B50&gt;Assumptions!$K$4,AND($H50&lt;&gt;"",OR($H50&lt;$B50,$H50&gt;Assumptions!$K$4))),"CHECK DATES",IF($L50="Closed",IF($O50="","CHECK CLOSURE DATE",IF(OR($O50&lt;$B50,$O50&gt;Assumptions!$K$4),"CHECK DATES",IF($O50&lt;=$N50,"Closed within target","Closed past target"))),IF($O50&lt;&gt;"","CHECK CLOSURE STATUS",IF($N50&lt;Assumptions!$K$4,"OVERDUE — HUMAN CHECK","Open within target")))),"CHECK DATES")))))</f>
        <v/>
      </c>
      <c r="R50" s="14" t="n"/>
      <c r="S50" s="16" t="n"/>
    </row>
    <row r="51" ht="30" customHeight="1">
      <c r="A51" s="14" t="n"/>
      <c r="B51" s="15" t="n"/>
      <c r="C51" s="14" t="n"/>
      <c r="D51" s="14" t="n"/>
      <c r="E51" s="14" t="n"/>
      <c r="F51" s="16" t="n"/>
      <c r="G51" s="14" t="n"/>
      <c r="H51" s="15" t="n"/>
      <c r="I51" s="16" t="n"/>
      <c r="J51" s="16" t="n"/>
      <c r="K51" s="17" t="n"/>
      <c r="L51" s="14" t="n"/>
      <c r="M51" s="21">
        <f>IF($A51="","",IF($E51="","",IFERROR(VLOOKUP($E51,Assumptions!$A$4:$B$10,2,FALSE),"")))</f>
        <v/>
      </c>
      <c r="N51" s="22">
        <f>IF(OR($A51="",$B51="",$M51=""),"",IFERROR($B51+$M51,""))</f>
        <v/>
      </c>
      <c r="O51" s="15" t="n"/>
      <c r="P51" s="21">
        <f>IF($A51="","",IF(OR($B51="",$L51=""),"",IFERROR(IF($L51="Closed",IF($O51="","",MAX(0,$O51-$B51)),IF(Assumptions!$K$4="","",MAX(0,Assumptions!$K$4-$B51))),"")))</f>
        <v/>
      </c>
      <c r="Q51" s="23">
        <f>IF($A51="","",IF(OR($B51="",$E51="",$G51="",$L51="",$M51="",$N51=""),"CHECK REQUIRED",IF(COUNTIF(Assumptions!$D$4:$D$7,$L51)=0,"CHECK STATUS",IF(Assumptions!$K$4="","CHECK AS-OF DATE",IFERROR(IF(OR($B51&gt;Assumptions!$K$4,AND($H51&lt;&gt;"",OR($H51&lt;$B51,$H51&gt;Assumptions!$K$4))),"CHECK DATES",IF($L51="Closed",IF($O51="","CHECK CLOSURE DATE",IF(OR($O51&lt;$B51,$O51&gt;Assumptions!$K$4),"CHECK DATES",IF($O51&lt;=$N51,"Closed within target","Closed past target"))),IF($O51&lt;&gt;"","CHECK CLOSURE STATUS",IF($N51&lt;Assumptions!$K$4,"OVERDUE — HUMAN CHECK","Open within target")))),"CHECK DATES")))))</f>
        <v/>
      </c>
      <c r="R51" s="14" t="n"/>
      <c r="S51" s="16" t="n"/>
    </row>
    <row r="52" ht="30" customHeight="1">
      <c r="A52" s="14" t="n"/>
      <c r="B52" s="15" t="n"/>
      <c r="C52" s="14" t="n"/>
      <c r="D52" s="14" t="n"/>
      <c r="E52" s="14" t="n"/>
      <c r="F52" s="16" t="n"/>
      <c r="G52" s="14" t="n"/>
      <c r="H52" s="15" t="n"/>
      <c r="I52" s="16" t="n"/>
      <c r="J52" s="16" t="n"/>
      <c r="K52" s="17" t="n"/>
      <c r="L52" s="14" t="n"/>
      <c r="M52" s="18">
        <f>IF($A52="","",IF($E52="","",IFERROR(VLOOKUP($E52,Assumptions!$A$4:$B$10,2,FALSE),"")))</f>
        <v/>
      </c>
      <c r="N52" s="19">
        <f>IF(OR($A52="",$B52="",$M52=""),"",IFERROR($B52+$M52,""))</f>
        <v/>
      </c>
      <c r="O52" s="15" t="n"/>
      <c r="P52" s="18">
        <f>IF($A52="","",IF(OR($B52="",$L52=""),"",IFERROR(IF($L52="Closed",IF($O52="","",MAX(0,$O52-$B52)),IF(Assumptions!$K$4="","",MAX(0,Assumptions!$K$4-$B52))),"")))</f>
        <v/>
      </c>
      <c r="Q52" s="20">
        <f>IF($A52="","",IF(OR($B52="",$E52="",$G52="",$L52="",$M52="",$N52=""),"CHECK REQUIRED",IF(COUNTIF(Assumptions!$D$4:$D$7,$L52)=0,"CHECK STATUS",IF(Assumptions!$K$4="","CHECK AS-OF DATE",IFERROR(IF(OR($B52&gt;Assumptions!$K$4,AND($H52&lt;&gt;"",OR($H52&lt;$B52,$H52&gt;Assumptions!$K$4))),"CHECK DATES",IF($L52="Closed",IF($O52="","CHECK CLOSURE DATE",IF(OR($O52&lt;$B52,$O52&gt;Assumptions!$K$4),"CHECK DATES",IF($O52&lt;=$N52,"Closed within target","Closed past target"))),IF($O52&lt;&gt;"","CHECK CLOSURE STATUS",IF($N52&lt;Assumptions!$K$4,"OVERDUE — HUMAN CHECK","Open within target")))),"CHECK DATES")))))</f>
        <v/>
      </c>
      <c r="R52" s="14" t="n"/>
      <c r="S52" s="16" t="n"/>
    </row>
    <row r="53" ht="30" customHeight="1">
      <c r="A53" s="14" t="n"/>
      <c r="B53" s="15" t="n"/>
      <c r="C53" s="14" t="n"/>
      <c r="D53" s="14" t="n"/>
      <c r="E53" s="14" t="n"/>
      <c r="F53" s="16" t="n"/>
      <c r="G53" s="14" t="n"/>
      <c r="H53" s="15" t="n"/>
      <c r="I53" s="16" t="n"/>
      <c r="J53" s="16" t="n"/>
      <c r="K53" s="17" t="n"/>
      <c r="L53" s="14" t="n"/>
      <c r="M53" s="21">
        <f>IF($A53="","",IF($E53="","",IFERROR(VLOOKUP($E53,Assumptions!$A$4:$B$10,2,FALSE),"")))</f>
        <v/>
      </c>
      <c r="N53" s="22">
        <f>IF(OR($A53="",$B53="",$M53=""),"",IFERROR($B53+$M53,""))</f>
        <v/>
      </c>
      <c r="O53" s="15" t="n"/>
      <c r="P53" s="21">
        <f>IF($A53="","",IF(OR($B53="",$L53=""),"",IFERROR(IF($L53="Closed",IF($O53="","",MAX(0,$O53-$B53)),IF(Assumptions!$K$4="","",MAX(0,Assumptions!$K$4-$B53))),"")))</f>
        <v/>
      </c>
      <c r="Q53" s="23">
        <f>IF($A53="","",IF(OR($B53="",$E53="",$G53="",$L53="",$M53="",$N53=""),"CHECK REQUIRED",IF(COUNTIF(Assumptions!$D$4:$D$7,$L53)=0,"CHECK STATUS",IF(Assumptions!$K$4="","CHECK AS-OF DATE",IFERROR(IF(OR($B53&gt;Assumptions!$K$4,AND($H53&lt;&gt;"",OR($H53&lt;$B53,$H53&gt;Assumptions!$K$4))),"CHECK DATES",IF($L53="Closed",IF($O53="","CHECK CLOSURE DATE",IF(OR($O53&lt;$B53,$O53&gt;Assumptions!$K$4),"CHECK DATES",IF($O53&lt;=$N53,"Closed within target","Closed past target"))),IF($O53&lt;&gt;"","CHECK CLOSURE STATUS",IF($N53&lt;Assumptions!$K$4,"OVERDUE — HUMAN CHECK","Open within target")))),"CHECK DATES")))))</f>
        <v/>
      </c>
      <c r="R53" s="14" t="n"/>
      <c r="S53" s="16" t="n"/>
    </row>
    <row r="54" ht="30" customHeight="1">
      <c r="A54" s="14" t="n"/>
      <c r="B54" s="15" t="n"/>
      <c r="C54" s="14" t="n"/>
      <c r="D54" s="14" t="n"/>
      <c r="E54" s="14" t="n"/>
      <c r="F54" s="16" t="n"/>
      <c r="G54" s="14" t="n"/>
      <c r="H54" s="15" t="n"/>
      <c r="I54" s="16" t="n"/>
      <c r="J54" s="16" t="n"/>
      <c r="K54" s="17" t="n"/>
      <c r="L54" s="14" t="n"/>
      <c r="M54" s="18">
        <f>IF($A54="","",IF($E54="","",IFERROR(VLOOKUP($E54,Assumptions!$A$4:$B$10,2,FALSE),"")))</f>
        <v/>
      </c>
      <c r="N54" s="19">
        <f>IF(OR($A54="",$B54="",$M54=""),"",IFERROR($B54+$M54,""))</f>
        <v/>
      </c>
      <c r="O54" s="15" t="n"/>
      <c r="P54" s="18">
        <f>IF($A54="","",IF(OR($B54="",$L54=""),"",IFERROR(IF($L54="Closed",IF($O54="","",MAX(0,$O54-$B54)),IF(Assumptions!$K$4="","",MAX(0,Assumptions!$K$4-$B54))),"")))</f>
        <v/>
      </c>
      <c r="Q54" s="20">
        <f>IF($A54="","",IF(OR($B54="",$E54="",$G54="",$L54="",$M54="",$N54=""),"CHECK REQUIRED",IF(COUNTIF(Assumptions!$D$4:$D$7,$L54)=0,"CHECK STATUS",IF(Assumptions!$K$4="","CHECK AS-OF DATE",IFERROR(IF(OR($B54&gt;Assumptions!$K$4,AND($H54&lt;&gt;"",OR($H54&lt;$B54,$H54&gt;Assumptions!$K$4))),"CHECK DATES",IF($L54="Closed",IF($O54="","CHECK CLOSURE DATE",IF(OR($O54&lt;$B54,$O54&gt;Assumptions!$K$4),"CHECK DATES",IF($O54&lt;=$N54,"Closed within target","Closed past target"))),IF($O54&lt;&gt;"","CHECK CLOSURE STATUS",IF($N54&lt;Assumptions!$K$4,"OVERDUE — HUMAN CHECK","Open within target")))),"CHECK DATES")))))</f>
        <v/>
      </c>
      <c r="R54" s="14" t="n"/>
      <c r="S54" s="16" t="n"/>
    </row>
    <row r="55" ht="30" customHeight="1">
      <c r="A55" s="14" t="n"/>
      <c r="B55" s="15" t="n"/>
      <c r="C55" s="14" t="n"/>
      <c r="D55" s="14" t="n"/>
      <c r="E55" s="14" t="n"/>
      <c r="F55" s="16" t="n"/>
      <c r="G55" s="14" t="n"/>
      <c r="H55" s="15" t="n"/>
      <c r="I55" s="16" t="n"/>
      <c r="J55" s="16" t="n"/>
      <c r="K55" s="17" t="n"/>
      <c r="L55" s="14" t="n"/>
      <c r="M55" s="21">
        <f>IF($A55="","",IF($E55="","",IFERROR(VLOOKUP($E55,Assumptions!$A$4:$B$10,2,FALSE),"")))</f>
        <v/>
      </c>
      <c r="N55" s="22">
        <f>IF(OR($A55="",$B55="",$M55=""),"",IFERROR($B55+$M55,""))</f>
        <v/>
      </c>
      <c r="O55" s="15" t="n"/>
      <c r="P55" s="21">
        <f>IF($A55="","",IF(OR($B55="",$L55=""),"",IFERROR(IF($L55="Closed",IF($O55="","",MAX(0,$O55-$B55)),IF(Assumptions!$K$4="","",MAX(0,Assumptions!$K$4-$B55))),"")))</f>
        <v/>
      </c>
      <c r="Q55" s="23">
        <f>IF($A55="","",IF(OR($B55="",$E55="",$G55="",$L55="",$M55="",$N55=""),"CHECK REQUIRED",IF(COUNTIF(Assumptions!$D$4:$D$7,$L55)=0,"CHECK STATUS",IF(Assumptions!$K$4="","CHECK AS-OF DATE",IFERROR(IF(OR($B55&gt;Assumptions!$K$4,AND($H55&lt;&gt;"",OR($H55&lt;$B55,$H55&gt;Assumptions!$K$4))),"CHECK DATES",IF($L55="Closed",IF($O55="","CHECK CLOSURE DATE",IF(OR($O55&lt;$B55,$O55&gt;Assumptions!$K$4),"CHECK DATES",IF($O55&lt;=$N55,"Closed within target","Closed past target"))),IF($O55&lt;&gt;"","CHECK CLOSURE STATUS",IF($N55&lt;Assumptions!$K$4,"OVERDUE — HUMAN CHECK","Open within target")))),"CHECK DATES")))))</f>
        <v/>
      </c>
      <c r="R55" s="14" t="n"/>
      <c r="S55" s="16" t="n"/>
    </row>
    <row r="56" ht="30" customHeight="1">
      <c r="A56" s="14" t="n"/>
      <c r="B56" s="15" t="n"/>
      <c r="C56" s="14" t="n"/>
      <c r="D56" s="14" t="n"/>
      <c r="E56" s="14" t="n"/>
      <c r="F56" s="16" t="n"/>
      <c r="G56" s="14" t="n"/>
      <c r="H56" s="15" t="n"/>
      <c r="I56" s="16" t="n"/>
      <c r="J56" s="16" t="n"/>
      <c r="K56" s="17" t="n"/>
      <c r="L56" s="14" t="n"/>
      <c r="M56" s="18">
        <f>IF($A56="","",IF($E56="","",IFERROR(VLOOKUP($E56,Assumptions!$A$4:$B$10,2,FALSE),"")))</f>
        <v/>
      </c>
      <c r="N56" s="19">
        <f>IF(OR($A56="",$B56="",$M56=""),"",IFERROR($B56+$M56,""))</f>
        <v/>
      </c>
      <c r="O56" s="15" t="n"/>
      <c r="P56" s="18">
        <f>IF($A56="","",IF(OR($B56="",$L56=""),"",IFERROR(IF($L56="Closed",IF($O56="","",MAX(0,$O56-$B56)),IF(Assumptions!$K$4="","",MAX(0,Assumptions!$K$4-$B56))),"")))</f>
        <v/>
      </c>
      <c r="Q56" s="20">
        <f>IF($A56="","",IF(OR($B56="",$E56="",$G56="",$L56="",$M56="",$N56=""),"CHECK REQUIRED",IF(COUNTIF(Assumptions!$D$4:$D$7,$L56)=0,"CHECK STATUS",IF(Assumptions!$K$4="","CHECK AS-OF DATE",IFERROR(IF(OR($B56&gt;Assumptions!$K$4,AND($H56&lt;&gt;"",OR($H56&lt;$B56,$H56&gt;Assumptions!$K$4))),"CHECK DATES",IF($L56="Closed",IF($O56="","CHECK CLOSURE DATE",IF(OR($O56&lt;$B56,$O56&gt;Assumptions!$K$4),"CHECK DATES",IF($O56&lt;=$N56,"Closed within target","Closed past target"))),IF($O56&lt;&gt;"","CHECK CLOSURE STATUS",IF($N56&lt;Assumptions!$K$4,"OVERDUE — HUMAN CHECK","Open within target")))),"CHECK DATES")))))</f>
        <v/>
      </c>
      <c r="R56" s="14" t="n"/>
      <c r="S56" s="16" t="n"/>
    </row>
    <row r="57" ht="30" customHeight="1">
      <c r="A57" s="14" t="n"/>
      <c r="B57" s="15" t="n"/>
      <c r="C57" s="14" t="n"/>
      <c r="D57" s="14" t="n"/>
      <c r="E57" s="14" t="n"/>
      <c r="F57" s="16" t="n"/>
      <c r="G57" s="14" t="n"/>
      <c r="H57" s="15" t="n"/>
      <c r="I57" s="16" t="n"/>
      <c r="J57" s="16" t="n"/>
      <c r="K57" s="17" t="n"/>
      <c r="L57" s="14" t="n"/>
      <c r="M57" s="21">
        <f>IF($A57="","",IF($E57="","",IFERROR(VLOOKUP($E57,Assumptions!$A$4:$B$10,2,FALSE),"")))</f>
        <v/>
      </c>
      <c r="N57" s="22">
        <f>IF(OR($A57="",$B57="",$M57=""),"",IFERROR($B57+$M57,""))</f>
        <v/>
      </c>
      <c r="O57" s="15" t="n"/>
      <c r="P57" s="21">
        <f>IF($A57="","",IF(OR($B57="",$L57=""),"",IFERROR(IF($L57="Closed",IF($O57="","",MAX(0,$O57-$B57)),IF(Assumptions!$K$4="","",MAX(0,Assumptions!$K$4-$B57))),"")))</f>
        <v/>
      </c>
      <c r="Q57" s="23">
        <f>IF($A57="","",IF(OR($B57="",$E57="",$G57="",$L57="",$M57="",$N57=""),"CHECK REQUIRED",IF(COUNTIF(Assumptions!$D$4:$D$7,$L57)=0,"CHECK STATUS",IF(Assumptions!$K$4="","CHECK AS-OF DATE",IFERROR(IF(OR($B57&gt;Assumptions!$K$4,AND($H57&lt;&gt;"",OR($H57&lt;$B57,$H57&gt;Assumptions!$K$4))),"CHECK DATES",IF($L57="Closed",IF($O57="","CHECK CLOSURE DATE",IF(OR($O57&lt;$B57,$O57&gt;Assumptions!$K$4),"CHECK DATES",IF($O57&lt;=$N57,"Closed within target","Closed past target"))),IF($O57&lt;&gt;"","CHECK CLOSURE STATUS",IF($N57&lt;Assumptions!$K$4,"OVERDUE — HUMAN CHECK","Open within target")))),"CHECK DATES")))))</f>
        <v/>
      </c>
      <c r="R57" s="14" t="n"/>
      <c r="S57" s="16" t="n"/>
    </row>
    <row r="58" ht="30" customHeight="1">
      <c r="A58" s="14" t="n"/>
      <c r="B58" s="15" t="n"/>
      <c r="C58" s="14" t="n"/>
      <c r="D58" s="14" t="n"/>
      <c r="E58" s="14" t="n"/>
      <c r="F58" s="16" t="n"/>
      <c r="G58" s="14" t="n"/>
      <c r="H58" s="15" t="n"/>
      <c r="I58" s="16" t="n"/>
      <c r="J58" s="16" t="n"/>
      <c r="K58" s="17" t="n"/>
      <c r="L58" s="14" t="n"/>
      <c r="M58" s="18">
        <f>IF($A58="","",IF($E58="","",IFERROR(VLOOKUP($E58,Assumptions!$A$4:$B$10,2,FALSE),"")))</f>
        <v/>
      </c>
      <c r="N58" s="19">
        <f>IF(OR($A58="",$B58="",$M58=""),"",IFERROR($B58+$M58,""))</f>
        <v/>
      </c>
      <c r="O58" s="15" t="n"/>
      <c r="P58" s="18">
        <f>IF($A58="","",IF(OR($B58="",$L58=""),"",IFERROR(IF($L58="Closed",IF($O58="","",MAX(0,$O58-$B58)),IF(Assumptions!$K$4="","",MAX(0,Assumptions!$K$4-$B58))),"")))</f>
        <v/>
      </c>
      <c r="Q58" s="20">
        <f>IF($A58="","",IF(OR($B58="",$E58="",$G58="",$L58="",$M58="",$N58=""),"CHECK REQUIRED",IF(COUNTIF(Assumptions!$D$4:$D$7,$L58)=0,"CHECK STATUS",IF(Assumptions!$K$4="","CHECK AS-OF DATE",IFERROR(IF(OR($B58&gt;Assumptions!$K$4,AND($H58&lt;&gt;"",OR($H58&lt;$B58,$H58&gt;Assumptions!$K$4))),"CHECK DATES",IF($L58="Closed",IF($O58="","CHECK CLOSURE DATE",IF(OR($O58&lt;$B58,$O58&gt;Assumptions!$K$4),"CHECK DATES",IF($O58&lt;=$N58,"Closed within target","Closed past target"))),IF($O58&lt;&gt;"","CHECK CLOSURE STATUS",IF($N58&lt;Assumptions!$K$4,"OVERDUE — HUMAN CHECK","Open within target")))),"CHECK DATES")))))</f>
        <v/>
      </c>
      <c r="R58" s="14" t="n"/>
      <c r="S58" s="16" t="n"/>
    </row>
    <row r="59" ht="30" customHeight="1">
      <c r="A59" s="14" t="n"/>
      <c r="B59" s="15" t="n"/>
      <c r="C59" s="14" t="n"/>
      <c r="D59" s="14" t="n"/>
      <c r="E59" s="14" t="n"/>
      <c r="F59" s="16" t="n"/>
      <c r="G59" s="14" t="n"/>
      <c r="H59" s="15" t="n"/>
      <c r="I59" s="16" t="n"/>
      <c r="J59" s="16" t="n"/>
      <c r="K59" s="17" t="n"/>
      <c r="L59" s="14" t="n"/>
      <c r="M59" s="21">
        <f>IF($A59="","",IF($E59="","",IFERROR(VLOOKUP($E59,Assumptions!$A$4:$B$10,2,FALSE),"")))</f>
        <v/>
      </c>
      <c r="N59" s="22">
        <f>IF(OR($A59="",$B59="",$M59=""),"",IFERROR($B59+$M59,""))</f>
        <v/>
      </c>
      <c r="O59" s="15" t="n"/>
      <c r="P59" s="21">
        <f>IF($A59="","",IF(OR($B59="",$L59=""),"",IFERROR(IF($L59="Closed",IF($O59="","",MAX(0,$O59-$B59)),IF(Assumptions!$K$4="","",MAX(0,Assumptions!$K$4-$B59))),"")))</f>
        <v/>
      </c>
      <c r="Q59" s="23">
        <f>IF($A59="","",IF(OR($B59="",$E59="",$G59="",$L59="",$M59="",$N59=""),"CHECK REQUIRED",IF(COUNTIF(Assumptions!$D$4:$D$7,$L59)=0,"CHECK STATUS",IF(Assumptions!$K$4="","CHECK AS-OF DATE",IFERROR(IF(OR($B59&gt;Assumptions!$K$4,AND($H59&lt;&gt;"",OR($H59&lt;$B59,$H59&gt;Assumptions!$K$4))),"CHECK DATES",IF($L59="Closed",IF($O59="","CHECK CLOSURE DATE",IF(OR($O59&lt;$B59,$O59&gt;Assumptions!$K$4),"CHECK DATES",IF($O59&lt;=$N59,"Closed within target","Closed past target"))),IF($O59&lt;&gt;"","CHECK CLOSURE STATUS",IF($N59&lt;Assumptions!$K$4,"OVERDUE — HUMAN CHECK","Open within target")))),"CHECK DATES")))))</f>
        <v/>
      </c>
      <c r="R59" s="14" t="n"/>
      <c r="S59" s="16" t="n"/>
    </row>
    <row r="60" ht="30" customHeight="1">
      <c r="A60" s="14" t="n"/>
      <c r="B60" s="15" t="n"/>
      <c r="C60" s="14" t="n"/>
      <c r="D60" s="14" t="n"/>
      <c r="E60" s="14" t="n"/>
      <c r="F60" s="16" t="n"/>
      <c r="G60" s="14" t="n"/>
      <c r="H60" s="15" t="n"/>
      <c r="I60" s="16" t="n"/>
      <c r="J60" s="16" t="n"/>
      <c r="K60" s="17" t="n"/>
      <c r="L60" s="14" t="n"/>
      <c r="M60" s="18">
        <f>IF($A60="","",IF($E60="","",IFERROR(VLOOKUP($E60,Assumptions!$A$4:$B$10,2,FALSE),"")))</f>
        <v/>
      </c>
      <c r="N60" s="19">
        <f>IF(OR($A60="",$B60="",$M60=""),"",IFERROR($B60+$M60,""))</f>
        <v/>
      </c>
      <c r="O60" s="15" t="n"/>
      <c r="P60" s="18">
        <f>IF($A60="","",IF(OR($B60="",$L60=""),"",IFERROR(IF($L60="Closed",IF($O60="","",MAX(0,$O60-$B60)),IF(Assumptions!$K$4="","",MAX(0,Assumptions!$K$4-$B60))),"")))</f>
        <v/>
      </c>
      <c r="Q60" s="20">
        <f>IF($A60="","",IF(OR($B60="",$E60="",$G60="",$L60="",$M60="",$N60=""),"CHECK REQUIRED",IF(COUNTIF(Assumptions!$D$4:$D$7,$L60)=0,"CHECK STATUS",IF(Assumptions!$K$4="","CHECK AS-OF DATE",IFERROR(IF(OR($B60&gt;Assumptions!$K$4,AND($H60&lt;&gt;"",OR($H60&lt;$B60,$H60&gt;Assumptions!$K$4))),"CHECK DATES",IF($L60="Closed",IF($O60="","CHECK CLOSURE DATE",IF(OR($O60&lt;$B60,$O60&gt;Assumptions!$K$4),"CHECK DATES",IF($O60&lt;=$N60,"Closed within target","Closed past target"))),IF($O60&lt;&gt;"","CHECK CLOSURE STATUS",IF($N60&lt;Assumptions!$K$4,"OVERDUE — HUMAN CHECK","Open within target")))),"CHECK DATES")))))</f>
        <v/>
      </c>
      <c r="R60" s="14" t="n"/>
      <c r="S60" s="16" t="n"/>
    </row>
    <row r="61" ht="30" customHeight="1">
      <c r="A61" s="14" t="n"/>
      <c r="B61" s="15" t="n"/>
      <c r="C61" s="14" t="n"/>
      <c r="D61" s="14" t="n"/>
      <c r="E61" s="14" t="n"/>
      <c r="F61" s="16" t="n"/>
      <c r="G61" s="14" t="n"/>
      <c r="H61" s="15" t="n"/>
      <c r="I61" s="16" t="n"/>
      <c r="J61" s="16" t="n"/>
      <c r="K61" s="17" t="n"/>
      <c r="L61" s="14" t="n"/>
      <c r="M61" s="21">
        <f>IF($A61="","",IF($E61="","",IFERROR(VLOOKUP($E61,Assumptions!$A$4:$B$10,2,FALSE),"")))</f>
        <v/>
      </c>
      <c r="N61" s="22">
        <f>IF(OR($A61="",$B61="",$M61=""),"",IFERROR($B61+$M61,""))</f>
        <v/>
      </c>
      <c r="O61" s="15" t="n"/>
      <c r="P61" s="21">
        <f>IF($A61="","",IF(OR($B61="",$L61=""),"",IFERROR(IF($L61="Closed",IF($O61="","",MAX(0,$O61-$B61)),IF(Assumptions!$K$4="","",MAX(0,Assumptions!$K$4-$B61))),"")))</f>
        <v/>
      </c>
      <c r="Q61" s="23">
        <f>IF($A61="","",IF(OR($B61="",$E61="",$G61="",$L61="",$M61="",$N61=""),"CHECK REQUIRED",IF(COUNTIF(Assumptions!$D$4:$D$7,$L61)=0,"CHECK STATUS",IF(Assumptions!$K$4="","CHECK AS-OF DATE",IFERROR(IF(OR($B61&gt;Assumptions!$K$4,AND($H61&lt;&gt;"",OR($H61&lt;$B61,$H61&gt;Assumptions!$K$4))),"CHECK DATES",IF($L61="Closed",IF($O61="","CHECK CLOSURE DATE",IF(OR($O61&lt;$B61,$O61&gt;Assumptions!$K$4),"CHECK DATES",IF($O61&lt;=$N61,"Closed within target","Closed past target"))),IF($O61&lt;&gt;"","CHECK CLOSURE STATUS",IF($N61&lt;Assumptions!$K$4,"OVERDUE — HUMAN CHECK","Open within target")))),"CHECK DATES")))))</f>
        <v/>
      </c>
      <c r="R61" s="14" t="n"/>
      <c r="S61" s="16" t="n"/>
    </row>
    <row r="62" ht="30" customHeight="1">
      <c r="A62" s="14" t="n"/>
      <c r="B62" s="15" t="n"/>
      <c r="C62" s="14" t="n"/>
      <c r="D62" s="14" t="n"/>
      <c r="E62" s="14" t="n"/>
      <c r="F62" s="16" t="n"/>
      <c r="G62" s="14" t="n"/>
      <c r="H62" s="15" t="n"/>
      <c r="I62" s="16" t="n"/>
      <c r="J62" s="16" t="n"/>
      <c r="K62" s="17" t="n"/>
      <c r="L62" s="14" t="n"/>
      <c r="M62" s="18">
        <f>IF($A62="","",IF($E62="","",IFERROR(VLOOKUP($E62,Assumptions!$A$4:$B$10,2,FALSE),"")))</f>
        <v/>
      </c>
      <c r="N62" s="19">
        <f>IF(OR($A62="",$B62="",$M62=""),"",IFERROR($B62+$M62,""))</f>
        <v/>
      </c>
      <c r="O62" s="15" t="n"/>
      <c r="P62" s="18">
        <f>IF($A62="","",IF(OR($B62="",$L62=""),"",IFERROR(IF($L62="Closed",IF($O62="","",MAX(0,$O62-$B62)),IF(Assumptions!$K$4="","",MAX(0,Assumptions!$K$4-$B62))),"")))</f>
        <v/>
      </c>
      <c r="Q62" s="20">
        <f>IF($A62="","",IF(OR($B62="",$E62="",$G62="",$L62="",$M62="",$N62=""),"CHECK REQUIRED",IF(COUNTIF(Assumptions!$D$4:$D$7,$L62)=0,"CHECK STATUS",IF(Assumptions!$K$4="","CHECK AS-OF DATE",IFERROR(IF(OR($B62&gt;Assumptions!$K$4,AND($H62&lt;&gt;"",OR($H62&lt;$B62,$H62&gt;Assumptions!$K$4))),"CHECK DATES",IF($L62="Closed",IF($O62="","CHECK CLOSURE DATE",IF(OR($O62&lt;$B62,$O62&gt;Assumptions!$K$4),"CHECK DATES",IF($O62&lt;=$N62,"Closed within target","Closed past target"))),IF($O62&lt;&gt;"","CHECK CLOSURE STATUS",IF($N62&lt;Assumptions!$K$4,"OVERDUE — HUMAN CHECK","Open within target")))),"CHECK DATES")))))</f>
        <v/>
      </c>
      <c r="R62" s="14" t="n"/>
      <c r="S62" s="16" t="n"/>
    </row>
    <row r="63" ht="30" customHeight="1">
      <c r="A63" s="14" t="n"/>
      <c r="B63" s="15" t="n"/>
      <c r="C63" s="14" t="n"/>
      <c r="D63" s="14" t="n"/>
      <c r="E63" s="14" t="n"/>
      <c r="F63" s="16" t="n"/>
      <c r="G63" s="14" t="n"/>
      <c r="H63" s="15" t="n"/>
      <c r="I63" s="16" t="n"/>
      <c r="J63" s="16" t="n"/>
      <c r="K63" s="17" t="n"/>
      <c r="L63" s="14" t="n"/>
      <c r="M63" s="21">
        <f>IF($A63="","",IF($E63="","",IFERROR(VLOOKUP($E63,Assumptions!$A$4:$B$10,2,FALSE),"")))</f>
        <v/>
      </c>
      <c r="N63" s="22">
        <f>IF(OR($A63="",$B63="",$M63=""),"",IFERROR($B63+$M63,""))</f>
        <v/>
      </c>
      <c r="O63" s="15" t="n"/>
      <c r="P63" s="21">
        <f>IF($A63="","",IF(OR($B63="",$L63=""),"",IFERROR(IF($L63="Closed",IF($O63="","",MAX(0,$O63-$B63)),IF(Assumptions!$K$4="","",MAX(0,Assumptions!$K$4-$B63))),"")))</f>
        <v/>
      </c>
      <c r="Q63" s="23">
        <f>IF($A63="","",IF(OR($B63="",$E63="",$G63="",$L63="",$M63="",$N63=""),"CHECK REQUIRED",IF(COUNTIF(Assumptions!$D$4:$D$7,$L63)=0,"CHECK STATUS",IF(Assumptions!$K$4="","CHECK AS-OF DATE",IFERROR(IF(OR($B63&gt;Assumptions!$K$4,AND($H63&lt;&gt;"",OR($H63&lt;$B63,$H63&gt;Assumptions!$K$4))),"CHECK DATES",IF($L63="Closed",IF($O63="","CHECK CLOSURE DATE",IF(OR($O63&lt;$B63,$O63&gt;Assumptions!$K$4),"CHECK DATES",IF($O63&lt;=$N63,"Closed within target","Closed past target"))),IF($O63&lt;&gt;"","CHECK CLOSURE STATUS",IF($N63&lt;Assumptions!$K$4,"OVERDUE — HUMAN CHECK","Open within target")))),"CHECK DATES")))))</f>
        <v/>
      </c>
      <c r="R63" s="14" t="n"/>
      <c r="S63" s="16" t="n"/>
    </row>
    <row r="64" ht="30" customHeight="1">
      <c r="A64" s="14" t="n"/>
      <c r="B64" s="15" t="n"/>
      <c r="C64" s="14" t="n"/>
      <c r="D64" s="14" t="n"/>
      <c r="E64" s="14" t="n"/>
      <c r="F64" s="16" t="n"/>
      <c r="G64" s="14" t="n"/>
      <c r="H64" s="15" t="n"/>
      <c r="I64" s="16" t="n"/>
      <c r="J64" s="16" t="n"/>
      <c r="K64" s="17" t="n"/>
      <c r="L64" s="14" t="n"/>
      <c r="M64" s="18">
        <f>IF($A64="","",IF($E64="","",IFERROR(VLOOKUP($E64,Assumptions!$A$4:$B$10,2,FALSE),"")))</f>
        <v/>
      </c>
      <c r="N64" s="19">
        <f>IF(OR($A64="",$B64="",$M64=""),"",IFERROR($B64+$M64,""))</f>
        <v/>
      </c>
      <c r="O64" s="15" t="n"/>
      <c r="P64" s="18">
        <f>IF($A64="","",IF(OR($B64="",$L64=""),"",IFERROR(IF($L64="Closed",IF($O64="","",MAX(0,$O64-$B64)),IF(Assumptions!$K$4="","",MAX(0,Assumptions!$K$4-$B64))),"")))</f>
        <v/>
      </c>
      <c r="Q64" s="20">
        <f>IF($A64="","",IF(OR($B64="",$E64="",$G64="",$L64="",$M64="",$N64=""),"CHECK REQUIRED",IF(COUNTIF(Assumptions!$D$4:$D$7,$L64)=0,"CHECK STATUS",IF(Assumptions!$K$4="","CHECK AS-OF DATE",IFERROR(IF(OR($B64&gt;Assumptions!$K$4,AND($H64&lt;&gt;"",OR($H64&lt;$B64,$H64&gt;Assumptions!$K$4))),"CHECK DATES",IF($L64="Closed",IF($O64="","CHECK CLOSURE DATE",IF(OR($O64&lt;$B64,$O64&gt;Assumptions!$K$4),"CHECK DATES",IF($O64&lt;=$N64,"Closed within target","Closed past target"))),IF($O64&lt;&gt;"","CHECK CLOSURE STATUS",IF($N64&lt;Assumptions!$K$4,"OVERDUE — HUMAN CHECK","Open within target")))),"CHECK DATES")))))</f>
        <v/>
      </c>
      <c r="R64" s="14" t="n"/>
      <c r="S64" s="16" t="n"/>
    </row>
    <row r="65" ht="30" customHeight="1">
      <c r="A65" s="14" t="n"/>
      <c r="B65" s="15" t="n"/>
      <c r="C65" s="14" t="n"/>
      <c r="D65" s="14" t="n"/>
      <c r="E65" s="14" t="n"/>
      <c r="F65" s="16" t="n"/>
      <c r="G65" s="14" t="n"/>
      <c r="H65" s="15" t="n"/>
      <c r="I65" s="16" t="n"/>
      <c r="J65" s="16" t="n"/>
      <c r="K65" s="17" t="n"/>
      <c r="L65" s="14" t="n"/>
      <c r="M65" s="21">
        <f>IF($A65="","",IF($E65="","",IFERROR(VLOOKUP($E65,Assumptions!$A$4:$B$10,2,FALSE),"")))</f>
        <v/>
      </c>
      <c r="N65" s="22">
        <f>IF(OR($A65="",$B65="",$M65=""),"",IFERROR($B65+$M65,""))</f>
        <v/>
      </c>
      <c r="O65" s="15" t="n"/>
      <c r="P65" s="21">
        <f>IF($A65="","",IF(OR($B65="",$L65=""),"",IFERROR(IF($L65="Closed",IF($O65="","",MAX(0,$O65-$B65)),IF(Assumptions!$K$4="","",MAX(0,Assumptions!$K$4-$B65))),"")))</f>
        <v/>
      </c>
      <c r="Q65" s="23">
        <f>IF($A65="","",IF(OR($B65="",$E65="",$G65="",$L65="",$M65="",$N65=""),"CHECK REQUIRED",IF(COUNTIF(Assumptions!$D$4:$D$7,$L65)=0,"CHECK STATUS",IF(Assumptions!$K$4="","CHECK AS-OF DATE",IFERROR(IF(OR($B65&gt;Assumptions!$K$4,AND($H65&lt;&gt;"",OR($H65&lt;$B65,$H65&gt;Assumptions!$K$4))),"CHECK DATES",IF($L65="Closed",IF($O65="","CHECK CLOSURE DATE",IF(OR($O65&lt;$B65,$O65&gt;Assumptions!$K$4),"CHECK DATES",IF($O65&lt;=$N65,"Closed within target","Closed past target"))),IF($O65&lt;&gt;"","CHECK CLOSURE STATUS",IF($N65&lt;Assumptions!$K$4,"OVERDUE — HUMAN CHECK","Open within target")))),"CHECK DATES")))))</f>
        <v/>
      </c>
      <c r="R65" s="14" t="n"/>
      <c r="S65" s="16" t="n"/>
    </row>
    <row r="66" ht="30" customHeight="1">
      <c r="A66" s="14" t="n"/>
      <c r="B66" s="15" t="n"/>
      <c r="C66" s="14" t="n"/>
      <c r="D66" s="14" t="n"/>
      <c r="E66" s="14" t="n"/>
      <c r="F66" s="16" t="n"/>
      <c r="G66" s="14" t="n"/>
      <c r="H66" s="15" t="n"/>
      <c r="I66" s="16" t="n"/>
      <c r="J66" s="16" t="n"/>
      <c r="K66" s="17" t="n"/>
      <c r="L66" s="14" t="n"/>
      <c r="M66" s="18">
        <f>IF($A66="","",IF($E66="","",IFERROR(VLOOKUP($E66,Assumptions!$A$4:$B$10,2,FALSE),"")))</f>
        <v/>
      </c>
      <c r="N66" s="19">
        <f>IF(OR($A66="",$B66="",$M66=""),"",IFERROR($B66+$M66,""))</f>
        <v/>
      </c>
      <c r="O66" s="15" t="n"/>
      <c r="P66" s="18">
        <f>IF($A66="","",IF(OR($B66="",$L66=""),"",IFERROR(IF($L66="Closed",IF($O66="","",MAX(0,$O66-$B66)),IF(Assumptions!$K$4="","",MAX(0,Assumptions!$K$4-$B66))),"")))</f>
        <v/>
      </c>
      <c r="Q66" s="20">
        <f>IF($A66="","",IF(OR($B66="",$E66="",$G66="",$L66="",$M66="",$N66=""),"CHECK REQUIRED",IF(COUNTIF(Assumptions!$D$4:$D$7,$L66)=0,"CHECK STATUS",IF(Assumptions!$K$4="","CHECK AS-OF DATE",IFERROR(IF(OR($B66&gt;Assumptions!$K$4,AND($H66&lt;&gt;"",OR($H66&lt;$B66,$H66&gt;Assumptions!$K$4))),"CHECK DATES",IF($L66="Closed",IF($O66="","CHECK CLOSURE DATE",IF(OR($O66&lt;$B66,$O66&gt;Assumptions!$K$4),"CHECK DATES",IF($O66&lt;=$N66,"Closed within target","Closed past target"))),IF($O66&lt;&gt;"","CHECK CLOSURE STATUS",IF($N66&lt;Assumptions!$K$4,"OVERDUE — HUMAN CHECK","Open within target")))),"CHECK DATES")))))</f>
        <v/>
      </c>
      <c r="R66" s="14" t="n"/>
      <c r="S66" s="16" t="n"/>
    </row>
    <row r="67" ht="30" customHeight="1">
      <c r="A67" s="14" t="n"/>
      <c r="B67" s="15" t="n"/>
      <c r="C67" s="14" t="n"/>
      <c r="D67" s="14" t="n"/>
      <c r="E67" s="14" t="n"/>
      <c r="F67" s="16" t="n"/>
      <c r="G67" s="14" t="n"/>
      <c r="H67" s="15" t="n"/>
      <c r="I67" s="16" t="n"/>
      <c r="J67" s="16" t="n"/>
      <c r="K67" s="17" t="n"/>
      <c r="L67" s="14" t="n"/>
      <c r="M67" s="21">
        <f>IF($A67="","",IF($E67="","",IFERROR(VLOOKUP($E67,Assumptions!$A$4:$B$10,2,FALSE),"")))</f>
        <v/>
      </c>
      <c r="N67" s="22">
        <f>IF(OR($A67="",$B67="",$M67=""),"",IFERROR($B67+$M67,""))</f>
        <v/>
      </c>
      <c r="O67" s="15" t="n"/>
      <c r="P67" s="21">
        <f>IF($A67="","",IF(OR($B67="",$L67=""),"",IFERROR(IF($L67="Closed",IF($O67="","",MAX(0,$O67-$B67)),IF(Assumptions!$K$4="","",MAX(0,Assumptions!$K$4-$B67))),"")))</f>
        <v/>
      </c>
      <c r="Q67" s="23">
        <f>IF($A67="","",IF(OR($B67="",$E67="",$G67="",$L67="",$M67="",$N67=""),"CHECK REQUIRED",IF(COUNTIF(Assumptions!$D$4:$D$7,$L67)=0,"CHECK STATUS",IF(Assumptions!$K$4="","CHECK AS-OF DATE",IFERROR(IF(OR($B67&gt;Assumptions!$K$4,AND($H67&lt;&gt;"",OR($H67&lt;$B67,$H67&gt;Assumptions!$K$4))),"CHECK DATES",IF($L67="Closed",IF($O67="","CHECK CLOSURE DATE",IF(OR($O67&lt;$B67,$O67&gt;Assumptions!$K$4),"CHECK DATES",IF($O67&lt;=$N67,"Closed within target","Closed past target"))),IF($O67&lt;&gt;"","CHECK CLOSURE STATUS",IF($N67&lt;Assumptions!$K$4,"OVERDUE — HUMAN CHECK","Open within target")))),"CHECK DATES")))))</f>
        <v/>
      </c>
      <c r="R67" s="14" t="n"/>
      <c r="S67" s="16" t="n"/>
    </row>
    <row r="68" ht="30" customHeight="1">
      <c r="A68" s="14" t="n"/>
      <c r="B68" s="15" t="n"/>
      <c r="C68" s="14" t="n"/>
      <c r="D68" s="14" t="n"/>
      <c r="E68" s="14" t="n"/>
      <c r="F68" s="16" t="n"/>
      <c r="G68" s="14" t="n"/>
      <c r="H68" s="15" t="n"/>
      <c r="I68" s="16" t="n"/>
      <c r="J68" s="16" t="n"/>
      <c r="K68" s="17" t="n"/>
      <c r="L68" s="14" t="n"/>
      <c r="M68" s="18">
        <f>IF($A68="","",IF($E68="","",IFERROR(VLOOKUP($E68,Assumptions!$A$4:$B$10,2,FALSE),"")))</f>
        <v/>
      </c>
      <c r="N68" s="19">
        <f>IF(OR($A68="",$B68="",$M68=""),"",IFERROR($B68+$M68,""))</f>
        <v/>
      </c>
      <c r="O68" s="15" t="n"/>
      <c r="P68" s="18">
        <f>IF($A68="","",IF(OR($B68="",$L68=""),"",IFERROR(IF($L68="Closed",IF($O68="","",MAX(0,$O68-$B68)),IF(Assumptions!$K$4="","",MAX(0,Assumptions!$K$4-$B68))),"")))</f>
        <v/>
      </c>
      <c r="Q68" s="20">
        <f>IF($A68="","",IF(OR($B68="",$E68="",$G68="",$L68="",$M68="",$N68=""),"CHECK REQUIRED",IF(COUNTIF(Assumptions!$D$4:$D$7,$L68)=0,"CHECK STATUS",IF(Assumptions!$K$4="","CHECK AS-OF DATE",IFERROR(IF(OR($B68&gt;Assumptions!$K$4,AND($H68&lt;&gt;"",OR($H68&lt;$B68,$H68&gt;Assumptions!$K$4))),"CHECK DATES",IF($L68="Closed",IF($O68="","CHECK CLOSURE DATE",IF(OR($O68&lt;$B68,$O68&gt;Assumptions!$K$4),"CHECK DATES",IF($O68&lt;=$N68,"Closed within target","Closed past target"))),IF($O68&lt;&gt;"","CHECK CLOSURE STATUS",IF($N68&lt;Assumptions!$K$4,"OVERDUE — HUMAN CHECK","Open within target")))),"CHECK DATES")))))</f>
        <v/>
      </c>
      <c r="R68" s="14" t="n"/>
      <c r="S68" s="16" t="n"/>
    </row>
    <row r="69" ht="30" customHeight="1">
      <c r="A69" s="14" t="n"/>
      <c r="B69" s="15" t="n"/>
      <c r="C69" s="14" t="n"/>
      <c r="D69" s="14" t="n"/>
      <c r="E69" s="14" t="n"/>
      <c r="F69" s="16" t="n"/>
      <c r="G69" s="14" t="n"/>
      <c r="H69" s="15" t="n"/>
      <c r="I69" s="16" t="n"/>
      <c r="J69" s="16" t="n"/>
      <c r="K69" s="17" t="n"/>
      <c r="L69" s="14" t="n"/>
      <c r="M69" s="21">
        <f>IF($A69="","",IF($E69="","",IFERROR(VLOOKUP($E69,Assumptions!$A$4:$B$10,2,FALSE),"")))</f>
        <v/>
      </c>
      <c r="N69" s="22">
        <f>IF(OR($A69="",$B69="",$M69=""),"",IFERROR($B69+$M69,""))</f>
        <v/>
      </c>
      <c r="O69" s="15" t="n"/>
      <c r="P69" s="21">
        <f>IF($A69="","",IF(OR($B69="",$L69=""),"",IFERROR(IF($L69="Closed",IF($O69="","",MAX(0,$O69-$B69)),IF(Assumptions!$K$4="","",MAX(0,Assumptions!$K$4-$B69))),"")))</f>
        <v/>
      </c>
      <c r="Q69" s="23">
        <f>IF($A69="","",IF(OR($B69="",$E69="",$G69="",$L69="",$M69="",$N69=""),"CHECK REQUIRED",IF(COUNTIF(Assumptions!$D$4:$D$7,$L69)=0,"CHECK STATUS",IF(Assumptions!$K$4="","CHECK AS-OF DATE",IFERROR(IF(OR($B69&gt;Assumptions!$K$4,AND($H69&lt;&gt;"",OR($H69&lt;$B69,$H69&gt;Assumptions!$K$4))),"CHECK DATES",IF($L69="Closed",IF($O69="","CHECK CLOSURE DATE",IF(OR($O69&lt;$B69,$O69&gt;Assumptions!$K$4),"CHECK DATES",IF($O69&lt;=$N69,"Closed within target","Closed past target"))),IF($O69&lt;&gt;"","CHECK CLOSURE STATUS",IF($N69&lt;Assumptions!$K$4,"OVERDUE — HUMAN CHECK","Open within target")))),"CHECK DATES")))))</f>
        <v/>
      </c>
      <c r="R69" s="14" t="n"/>
      <c r="S69" s="16" t="n"/>
    </row>
    <row r="70" ht="30" customHeight="1">
      <c r="A70" s="14" t="n"/>
      <c r="B70" s="15" t="n"/>
      <c r="C70" s="14" t="n"/>
      <c r="D70" s="14" t="n"/>
      <c r="E70" s="14" t="n"/>
      <c r="F70" s="16" t="n"/>
      <c r="G70" s="14" t="n"/>
      <c r="H70" s="15" t="n"/>
      <c r="I70" s="16" t="n"/>
      <c r="J70" s="16" t="n"/>
      <c r="K70" s="17" t="n"/>
      <c r="L70" s="14" t="n"/>
      <c r="M70" s="18">
        <f>IF($A70="","",IF($E70="","",IFERROR(VLOOKUP($E70,Assumptions!$A$4:$B$10,2,FALSE),"")))</f>
        <v/>
      </c>
      <c r="N70" s="19">
        <f>IF(OR($A70="",$B70="",$M70=""),"",IFERROR($B70+$M70,""))</f>
        <v/>
      </c>
      <c r="O70" s="15" t="n"/>
      <c r="P70" s="18">
        <f>IF($A70="","",IF(OR($B70="",$L70=""),"",IFERROR(IF($L70="Closed",IF($O70="","",MAX(0,$O70-$B70)),IF(Assumptions!$K$4="","",MAX(0,Assumptions!$K$4-$B70))),"")))</f>
        <v/>
      </c>
      <c r="Q70" s="20">
        <f>IF($A70="","",IF(OR($B70="",$E70="",$G70="",$L70="",$M70="",$N70=""),"CHECK REQUIRED",IF(COUNTIF(Assumptions!$D$4:$D$7,$L70)=0,"CHECK STATUS",IF(Assumptions!$K$4="","CHECK AS-OF DATE",IFERROR(IF(OR($B70&gt;Assumptions!$K$4,AND($H70&lt;&gt;"",OR($H70&lt;$B70,$H70&gt;Assumptions!$K$4))),"CHECK DATES",IF($L70="Closed",IF($O70="","CHECK CLOSURE DATE",IF(OR($O70&lt;$B70,$O70&gt;Assumptions!$K$4),"CHECK DATES",IF($O70&lt;=$N70,"Closed within target","Closed past target"))),IF($O70&lt;&gt;"","CHECK CLOSURE STATUS",IF($N70&lt;Assumptions!$K$4,"OVERDUE — HUMAN CHECK","Open within target")))),"CHECK DATES")))))</f>
        <v/>
      </c>
      <c r="R70" s="14" t="n"/>
      <c r="S70" s="16" t="n"/>
    </row>
    <row r="71" ht="30" customHeight="1">
      <c r="A71" s="14" t="n"/>
      <c r="B71" s="15" t="n"/>
      <c r="C71" s="14" t="n"/>
      <c r="D71" s="14" t="n"/>
      <c r="E71" s="14" t="n"/>
      <c r="F71" s="16" t="n"/>
      <c r="G71" s="14" t="n"/>
      <c r="H71" s="15" t="n"/>
      <c r="I71" s="16" t="n"/>
      <c r="J71" s="16" t="n"/>
      <c r="K71" s="17" t="n"/>
      <c r="L71" s="14" t="n"/>
      <c r="M71" s="21">
        <f>IF($A71="","",IF($E71="","",IFERROR(VLOOKUP($E71,Assumptions!$A$4:$B$10,2,FALSE),"")))</f>
        <v/>
      </c>
      <c r="N71" s="22">
        <f>IF(OR($A71="",$B71="",$M71=""),"",IFERROR($B71+$M71,""))</f>
        <v/>
      </c>
      <c r="O71" s="15" t="n"/>
      <c r="P71" s="21">
        <f>IF($A71="","",IF(OR($B71="",$L71=""),"",IFERROR(IF($L71="Closed",IF($O71="","",MAX(0,$O71-$B71)),IF(Assumptions!$K$4="","",MAX(0,Assumptions!$K$4-$B71))),"")))</f>
        <v/>
      </c>
      <c r="Q71" s="23">
        <f>IF($A71="","",IF(OR($B71="",$E71="",$G71="",$L71="",$M71="",$N71=""),"CHECK REQUIRED",IF(COUNTIF(Assumptions!$D$4:$D$7,$L71)=0,"CHECK STATUS",IF(Assumptions!$K$4="","CHECK AS-OF DATE",IFERROR(IF(OR($B71&gt;Assumptions!$K$4,AND($H71&lt;&gt;"",OR($H71&lt;$B71,$H71&gt;Assumptions!$K$4))),"CHECK DATES",IF($L71="Closed",IF($O71="","CHECK CLOSURE DATE",IF(OR($O71&lt;$B71,$O71&gt;Assumptions!$K$4),"CHECK DATES",IF($O71&lt;=$N71,"Closed within target","Closed past target"))),IF($O71&lt;&gt;"","CHECK CLOSURE STATUS",IF($N71&lt;Assumptions!$K$4,"OVERDUE — HUMAN CHECK","Open within target")))),"CHECK DATES")))))</f>
        <v/>
      </c>
      <c r="R71" s="14" t="n"/>
      <c r="S71" s="16" t="n"/>
    </row>
    <row r="72" ht="30" customHeight="1">
      <c r="A72" s="14" t="n"/>
      <c r="B72" s="15" t="n"/>
      <c r="C72" s="14" t="n"/>
      <c r="D72" s="14" t="n"/>
      <c r="E72" s="14" t="n"/>
      <c r="F72" s="16" t="n"/>
      <c r="G72" s="14" t="n"/>
      <c r="H72" s="15" t="n"/>
      <c r="I72" s="16" t="n"/>
      <c r="J72" s="16" t="n"/>
      <c r="K72" s="17" t="n"/>
      <c r="L72" s="14" t="n"/>
      <c r="M72" s="18">
        <f>IF($A72="","",IF($E72="","",IFERROR(VLOOKUP($E72,Assumptions!$A$4:$B$10,2,FALSE),"")))</f>
        <v/>
      </c>
      <c r="N72" s="19">
        <f>IF(OR($A72="",$B72="",$M72=""),"",IFERROR($B72+$M72,""))</f>
        <v/>
      </c>
      <c r="O72" s="15" t="n"/>
      <c r="P72" s="18">
        <f>IF($A72="","",IF(OR($B72="",$L72=""),"",IFERROR(IF($L72="Closed",IF($O72="","",MAX(0,$O72-$B72)),IF(Assumptions!$K$4="","",MAX(0,Assumptions!$K$4-$B72))),"")))</f>
        <v/>
      </c>
      <c r="Q72" s="20">
        <f>IF($A72="","",IF(OR($B72="",$E72="",$G72="",$L72="",$M72="",$N72=""),"CHECK REQUIRED",IF(COUNTIF(Assumptions!$D$4:$D$7,$L72)=0,"CHECK STATUS",IF(Assumptions!$K$4="","CHECK AS-OF DATE",IFERROR(IF(OR($B72&gt;Assumptions!$K$4,AND($H72&lt;&gt;"",OR($H72&lt;$B72,$H72&gt;Assumptions!$K$4))),"CHECK DATES",IF($L72="Closed",IF($O72="","CHECK CLOSURE DATE",IF(OR($O72&lt;$B72,$O72&gt;Assumptions!$K$4),"CHECK DATES",IF($O72&lt;=$N72,"Closed within target","Closed past target"))),IF($O72&lt;&gt;"","CHECK CLOSURE STATUS",IF($N72&lt;Assumptions!$K$4,"OVERDUE — HUMAN CHECK","Open within target")))),"CHECK DATES")))))</f>
        <v/>
      </c>
      <c r="R72" s="14" t="n"/>
      <c r="S72" s="16" t="n"/>
    </row>
    <row r="73" ht="30" customHeight="1">
      <c r="A73" s="14" t="n"/>
      <c r="B73" s="15" t="n"/>
      <c r="C73" s="14" t="n"/>
      <c r="D73" s="14" t="n"/>
      <c r="E73" s="14" t="n"/>
      <c r="F73" s="16" t="n"/>
      <c r="G73" s="14" t="n"/>
      <c r="H73" s="15" t="n"/>
      <c r="I73" s="16" t="n"/>
      <c r="J73" s="16" t="n"/>
      <c r="K73" s="17" t="n"/>
      <c r="L73" s="14" t="n"/>
      <c r="M73" s="21">
        <f>IF($A73="","",IF($E73="","",IFERROR(VLOOKUP($E73,Assumptions!$A$4:$B$10,2,FALSE),"")))</f>
        <v/>
      </c>
      <c r="N73" s="22">
        <f>IF(OR($A73="",$B73="",$M73=""),"",IFERROR($B73+$M73,""))</f>
        <v/>
      </c>
      <c r="O73" s="15" t="n"/>
      <c r="P73" s="21">
        <f>IF($A73="","",IF(OR($B73="",$L73=""),"",IFERROR(IF($L73="Closed",IF($O73="","",MAX(0,$O73-$B73)),IF(Assumptions!$K$4="","",MAX(0,Assumptions!$K$4-$B73))),"")))</f>
        <v/>
      </c>
      <c r="Q73" s="23">
        <f>IF($A73="","",IF(OR($B73="",$E73="",$G73="",$L73="",$M73="",$N73=""),"CHECK REQUIRED",IF(COUNTIF(Assumptions!$D$4:$D$7,$L73)=0,"CHECK STATUS",IF(Assumptions!$K$4="","CHECK AS-OF DATE",IFERROR(IF(OR($B73&gt;Assumptions!$K$4,AND($H73&lt;&gt;"",OR($H73&lt;$B73,$H73&gt;Assumptions!$K$4))),"CHECK DATES",IF($L73="Closed",IF($O73="","CHECK CLOSURE DATE",IF(OR($O73&lt;$B73,$O73&gt;Assumptions!$K$4),"CHECK DATES",IF($O73&lt;=$N73,"Closed within target","Closed past target"))),IF($O73&lt;&gt;"","CHECK CLOSURE STATUS",IF($N73&lt;Assumptions!$K$4,"OVERDUE — HUMAN CHECK","Open within target")))),"CHECK DATES")))))</f>
        <v/>
      </c>
      <c r="R73" s="14" t="n"/>
      <c r="S73" s="16" t="n"/>
    </row>
    <row r="74" ht="30" customHeight="1">
      <c r="A74" s="14" t="n"/>
      <c r="B74" s="15" t="n"/>
      <c r="C74" s="14" t="n"/>
      <c r="D74" s="14" t="n"/>
      <c r="E74" s="14" t="n"/>
      <c r="F74" s="16" t="n"/>
      <c r="G74" s="14" t="n"/>
      <c r="H74" s="15" t="n"/>
      <c r="I74" s="16" t="n"/>
      <c r="J74" s="16" t="n"/>
      <c r="K74" s="17" t="n"/>
      <c r="L74" s="14" t="n"/>
      <c r="M74" s="18">
        <f>IF($A74="","",IF($E74="","",IFERROR(VLOOKUP($E74,Assumptions!$A$4:$B$10,2,FALSE),"")))</f>
        <v/>
      </c>
      <c r="N74" s="19">
        <f>IF(OR($A74="",$B74="",$M74=""),"",IFERROR($B74+$M74,""))</f>
        <v/>
      </c>
      <c r="O74" s="15" t="n"/>
      <c r="P74" s="18">
        <f>IF($A74="","",IF(OR($B74="",$L74=""),"",IFERROR(IF($L74="Closed",IF($O74="","",MAX(0,$O74-$B74)),IF(Assumptions!$K$4="","",MAX(0,Assumptions!$K$4-$B74))),"")))</f>
        <v/>
      </c>
      <c r="Q74" s="20">
        <f>IF($A74="","",IF(OR($B74="",$E74="",$G74="",$L74="",$M74="",$N74=""),"CHECK REQUIRED",IF(COUNTIF(Assumptions!$D$4:$D$7,$L74)=0,"CHECK STATUS",IF(Assumptions!$K$4="","CHECK AS-OF DATE",IFERROR(IF(OR($B74&gt;Assumptions!$K$4,AND($H74&lt;&gt;"",OR($H74&lt;$B74,$H74&gt;Assumptions!$K$4))),"CHECK DATES",IF($L74="Closed",IF($O74="","CHECK CLOSURE DATE",IF(OR($O74&lt;$B74,$O74&gt;Assumptions!$K$4),"CHECK DATES",IF($O74&lt;=$N74,"Closed within target","Closed past target"))),IF($O74&lt;&gt;"","CHECK CLOSURE STATUS",IF($N74&lt;Assumptions!$K$4,"OVERDUE — HUMAN CHECK","Open within target")))),"CHECK DATES")))))</f>
        <v/>
      </c>
      <c r="R74" s="14" t="n"/>
      <c r="S74" s="16" t="n"/>
    </row>
    <row r="75" ht="30" customHeight="1">
      <c r="A75" s="14" t="n"/>
      <c r="B75" s="15" t="n"/>
      <c r="C75" s="14" t="n"/>
      <c r="D75" s="14" t="n"/>
      <c r="E75" s="14" t="n"/>
      <c r="F75" s="16" t="n"/>
      <c r="G75" s="14" t="n"/>
      <c r="H75" s="15" t="n"/>
      <c r="I75" s="16" t="n"/>
      <c r="J75" s="16" t="n"/>
      <c r="K75" s="17" t="n"/>
      <c r="L75" s="14" t="n"/>
      <c r="M75" s="21">
        <f>IF($A75="","",IF($E75="","",IFERROR(VLOOKUP($E75,Assumptions!$A$4:$B$10,2,FALSE),"")))</f>
        <v/>
      </c>
      <c r="N75" s="22">
        <f>IF(OR($A75="",$B75="",$M75=""),"",IFERROR($B75+$M75,""))</f>
        <v/>
      </c>
      <c r="O75" s="15" t="n"/>
      <c r="P75" s="21">
        <f>IF($A75="","",IF(OR($B75="",$L75=""),"",IFERROR(IF($L75="Closed",IF($O75="","",MAX(0,$O75-$B75)),IF(Assumptions!$K$4="","",MAX(0,Assumptions!$K$4-$B75))),"")))</f>
        <v/>
      </c>
      <c r="Q75" s="23">
        <f>IF($A75="","",IF(OR($B75="",$E75="",$G75="",$L75="",$M75="",$N75=""),"CHECK REQUIRED",IF(COUNTIF(Assumptions!$D$4:$D$7,$L75)=0,"CHECK STATUS",IF(Assumptions!$K$4="","CHECK AS-OF DATE",IFERROR(IF(OR($B75&gt;Assumptions!$K$4,AND($H75&lt;&gt;"",OR($H75&lt;$B75,$H75&gt;Assumptions!$K$4))),"CHECK DATES",IF($L75="Closed",IF($O75="","CHECK CLOSURE DATE",IF(OR($O75&lt;$B75,$O75&gt;Assumptions!$K$4),"CHECK DATES",IF($O75&lt;=$N75,"Closed within target","Closed past target"))),IF($O75&lt;&gt;"","CHECK CLOSURE STATUS",IF($N75&lt;Assumptions!$K$4,"OVERDUE — HUMAN CHECK","Open within target")))),"CHECK DATES")))))</f>
        <v/>
      </c>
      <c r="R75" s="14" t="n"/>
      <c r="S75" s="16" t="n"/>
    </row>
    <row r="76" ht="30" customHeight="1">
      <c r="A76" s="14" t="n"/>
      <c r="B76" s="15" t="n"/>
      <c r="C76" s="14" t="n"/>
      <c r="D76" s="14" t="n"/>
      <c r="E76" s="14" t="n"/>
      <c r="F76" s="16" t="n"/>
      <c r="G76" s="14" t="n"/>
      <c r="H76" s="15" t="n"/>
      <c r="I76" s="16" t="n"/>
      <c r="J76" s="16" t="n"/>
      <c r="K76" s="17" t="n"/>
      <c r="L76" s="14" t="n"/>
      <c r="M76" s="18">
        <f>IF($A76="","",IF($E76="","",IFERROR(VLOOKUP($E76,Assumptions!$A$4:$B$10,2,FALSE),"")))</f>
        <v/>
      </c>
      <c r="N76" s="19">
        <f>IF(OR($A76="",$B76="",$M76=""),"",IFERROR($B76+$M76,""))</f>
        <v/>
      </c>
      <c r="O76" s="15" t="n"/>
      <c r="P76" s="18">
        <f>IF($A76="","",IF(OR($B76="",$L76=""),"",IFERROR(IF($L76="Closed",IF($O76="","",MAX(0,$O76-$B76)),IF(Assumptions!$K$4="","",MAX(0,Assumptions!$K$4-$B76))),"")))</f>
        <v/>
      </c>
      <c r="Q76" s="20">
        <f>IF($A76="","",IF(OR($B76="",$E76="",$G76="",$L76="",$M76="",$N76=""),"CHECK REQUIRED",IF(COUNTIF(Assumptions!$D$4:$D$7,$L76)=0,"CHECK STATUS",IF(Assumptions!$K$4="","CHECK AS-OF DATE",IFERROR(IF(OR($B76&gt;Assumptions!$K$4,AND($H76&lt;&gt;"",OR($H76&lt;$B76,$H76&gt;Assumptions!$K$4))),"CHECK DATES",IF($L76="Closed",IF($O76="","CHECK CLOSURE DATE",IF(OR($O76&lt;$B76,$O76&gt;Assumptions!$K$4),"CHECK DATES",IF($O76&lt;=$N76,"Closed within target","Closed past target"))),IF($O76&lt;&gt;"","CHECK CLOSURE STATUS",IF($N76&lt;Assumptions!$K$4,"OVERDUE — HUMAN CHECK","Open within target")))),"CHECK DATES")))))</f>
        <v/>
      </c>
      <c r="R76" s="14" t="n"/>
      <c r="S76" s="16" t="n"/>
    </row>
    <row r="77" ht="30" customHeight="1">
      <c r="A77" s="14" t="n"/>
      <c r="B77" s="15" t="n"/>
      <c r="C77" s="14" t="n"/>
      <c r="D77" s="14" t="n"/>
      <c r="E77" s="14" t="n"/>
      <c r="F77" s="16" t="n"/>
      <c r="G77" s="14" t="n"/>
      <c r="H77" s="15" t="n"/>
      <c r="I77" s="16" t="n"/>
      <c r="J77" s="16" t="n"/>
      <c r="K77" s="17" t="n"/>
      <c r="L77" s="14" t="n"/>
      <c r="M77" s="21">
        <f>IF($A77="","",IF($E77="","",IFERROR(VLOOKUP($E77,Assumptions!$A$4:$B$10,2,FALSE),"")))</f>
        <v/>
      </c>
      <c r="N77" s="22">
        <f>IF(OR($A77="",$B77="",$M77=""),"",IFERROR($B77+$M77,""))</f>
        <v/>
      </c>
      <c r="O77" s="15" t="n"/>
      <c r="P77" s="21">
        <f>IF($A77="","",IF(OR($B77="",$L77=""),"",IFERROR(IF($L77="Closed",IF($O77="","",MAX(0,$O77-$B77)),IF(Assumptions!$K$4="","",MAX(0,Assumptions!$K$4-$B77))),"")))</f>
        <v/>
      </c>
      <c r="Q77" s="23">
        <f>IF($A77="","",IF(OR($B77="",$E77="",$G77="",$L77="",$M77="",$N77=""),"CHECK REQUIRED",IF(COUNTIF(Assumptions!$D$4:$D$7,$L77)=0,"CHECK STATUS",IF(Assumptions!$K$4="","CHECK AS-OF DATE",IFERROR(IF(OR($B77&gt;Assumptions!$K$4,AND($H77&lt;&gt;"",OR($H77&lt;$B77,$H77&gt;Assumptions!$K$4))),"CHECK DATES",IF($L77="Closed",IF($O77="","CHECK CLOSURE DATE",IF(OR($O77&lt;$B77,$O77&gt;Assumptions!$K$4),"CHECK DATES",IF($O77&lt;=$N77,"Closed within target","Closed past target"))),IF($O77&lt;&gt;"","CHECK CLOSURE STATUS",IF($N77&lt;Assumptions!$K$4,"OVERDUE — HUMAN CHECK","Open within target")))),"CHECK DATES")))))</f>
        <v/>
      </c>
      <c r="R77" s="14" t="n"/>
      <c r="S77" s="16" t="n"/>
    </row>
    <row r="78" ht="30" customHeight="1">
      <c r="A78" s="14" t="n"/>
      <c r="B78" s="15" t="n"/>
      <c r="C78" s="14" t="n"/>
      <c r="D78" s="14" t="n"/>
      <c r="E78" s="14" t="n"/>
      <c r="F78" s="16" t="n"/>
      <c r="G78" s="14" t="n"/>
      <c r="H78" s="15" t="n"/>
      <c r="I78" s="16" t="n"/>
      <c r="J78" s="16" t="n"/>
      <c r="K78" s="17" t="n"/>
      <c r="L78" s="14" t="n"/>
      <c r="M78" s="18">
        <f>IF($A78="","",IF($E78="","",IFERROR(VLOOKUP($E78,Assumptions!$A$4:$B$10,2,FALSE),"")))</f>
        <v/>
      </c>
      <c r="N78" s="19">
        <f>IF(OR($A78="",$B78="",$M78=""),"",IFERROR($B78+$M78,""))</f>
        <v/>
      </c>
      <c r="O78" s="15" t="n"/>
      <c r="P78" s="18">
        <f>IF($A78="","",IF(OR($B78="",$L78=""),"",IFERROR(IF($L78="Closed",IF($O78="","",MAX(0,$O78-$B78)),IF(Assumptions!$K$4="","",MAX(0,Assumptions!$K$4-$B78))),"")))</f>
        <v/>
      </c>
      <c r="Q78" s="20">
        <f>IF($A78="","",IF(OR($B78="",$E78="",$G78="",$L78="",$M78="",$N78=""),"CHECK REQUIRED",IF(COUNTIF(Assumptions!$D$4:$D$7,$L78)=0,"CHECK STATUS",IF(Assumptions!$K$4="","CHECK AS-OF DATE",IFERROR(IF(OR($B78&gt;Assumptions!$K$4,AND($H78&lt;&gt;"",OR($H78&lt;$B78,$H78&gt;Assumptions!$K$4))),"CHECK DATES",IF($L78="Closed",IF($O78="","CHECK CLOSURE DATE",IF(OR($O78&lt;$B78,$O78&gt;Assumptions!$K$4),"CHECK DATES",IF($O78&lt;=$N78,"Closed within target","Closed past target"))),IF($O78&lt;&gt;"","CHECK CLOSURE STATUS",IF($N78&lt;Assumptions!$K$4,"OVERDUE — HUMAN CHECK","Open within target")))),"CHECK DATES")))))</f>
        <v/>
      </c>
      <c r="R78" s="14" t="n"/>
      <c r="S78" s="16" t="n"/>
    </row>
    <row r="79" ht="30" customHeight="1">
      <c r="A79" s="14" t="n"/>
      <c r="B79" s="15" t="n"/>
      <c r="C79" s="14" t="n"/>
      <c r="D79" s="14" t="n"/>
      <c r="E79" s="14" t="n"/>
      <c r="F79" s="16" t="n"/>
      <c r="G79" s="14" t="n"/>
      <c r="H79" s="15" t="n"/>
      <c r="I79" s="16" t="n"/>
      <c r="J79" s="16" t="n"/>
      <c r="K79" s="17" t="n"/>
      <c r="L79" s="14" t="n"/>
      <c r="M79" s="21">
        <f>IF($A79="","",IF($E79="","",IFERROR(VLOOKUP($E79,Assumptions!$A$4:$B$10,2,FALSE),"")))</f>
        <v/>
      </c>
      <c r="N79" s="22">
        <f>IF(OR($A79="",$B79="",$M79=""),"",IFERROR($B79+$M79,""))</f>
        <v/>
      </c>
      <c r="O79" s="15" t="n"/>
      <c r="P79" s="21">
        <f>IF($A79="","",IF(OR($B79="",$L79=""),"",IFERROR(IF($L79="Closed",IF($O79="","",MAX(0,$O79-$B79)),IF(Assumptions!$K$4="","",MAX(0,Assumptions!$K$4-$B79))),"")))</f>
        <v/>
      </c>
      <c r="Q79" s="23">
        <f>IF($A79="","",IF(OR($B79="",$E79="",$G79="",$L79="",$M79="",$N79=""),"CHECK REQUIRED",IF(COUNTIF(Assumptions!$D$4:$D$7,$L79)=0,"CHECK STATUS",IF(Assumptions!$K$4="","CHECK AS-OF DATE",IFERROR(IF(OR($B79&gt;Assumptions!$K$4,AND($H79&lt;&gt;"",OR($H79&lt;$B79,$H79&gt;Assumptions!$K$4))),"CHECK DATES",IF($L79="Closed",IF($O79="","CHECK CLOSURE DATE",IF(OR($O79&lt;$B79,$O79&gt;Assumptions!$K$4),"CHECK DATES",IF($O79&lt;=$N79,"Closed within target","Closed past target"))),IF($O79&lt;&gt;"","CHECK CLOSURE STATUS",IF($N79&lt;Assumptions!$K$4,"OVERDUE — HUMAN CHECK","Open within target")))),"CHECK DATES")))))</f>
        <v/>
      </c>
      <c r="R79" s="14" t="n"/>
      <c r="S79" s="16" t="n"/>
    </row>
    <row r="80" ht="30" customHeight="1">
      <c r="A80" s="14" t="n"/>
      <c r="B80" s="15" t="n"/>
      <c r="C80" s="14" t="n"/>
      <c r="D80" s="14" t="n"/>
      <c r="E80" s="14" t="n"/>
      <c r="F80" s="16" t="n"/>
      <c r="G80" s="14" t="n"/>
      <c r="H80" s="15" t="n"/>
      <c r="I80" s="16" t="n"/>
      <c r="J80" s="16" t="n"/>
      <c r="K80" s="17" t="n"/>
      <c r="L80" s="14" t="n"/>
      <c r="M80" s="18">
        <f>IF($A80="","",IF($E80="","",IFERROR(VLOOKUP($E80,Assumptions!$A$4:$B$10,2,FALSE),"")))</f>
        <v/>
      </c>
      <c r="N80" s="19">
        <f>IF(OR($A80="",$B80="",$M80=""),"",IFERROR($B80+$M80,""))</f>
        <v/>
      </c>
      <c r="O80" s="15" t="n"/>
      <c r="P80" s="18">
        <f>IF($A80="","",IF(OR($B80="",$L80=""),"",IFERROR(IF($L80="Closed",IF($O80="","",MAX(0,$O80-$B80)),IF(Assumptions!$K$4="","",MAX(0,Assumptions!$K$4-$B80))),"")))</f>
        <v/>
      </c>
      <c r="Q80" s="20">
        <f>IF($A80="","",IF(OR($B80="",$E80="",$G80="",$L80="",$M80="",$N80=""),"CHECK REQUIRED",IF(COUNTIF(Assumptions!$D$4:$D$7,$L80)=0,"CHECK STATUS",IF(Assumptions!$K$4="","CHECK AS-OF DATE",IFERROR(IF(OR($B80&gt;Assumptions!$K$4,AND($H80&lt;&gt;"",OR($H80&lt;$B80,$H80&gt;Assumptions!$K$4))),"CHECK DATES",IF($L80="Closed",IF($O80="","CHECK CLOSURE DATE",IF(OR($O80&lt;$B80,$O80&gt;Assumptions!$K$4),"CHECK DATES",IF($O80&lt;=$N80,"Closed within target","Closed past target"))),IF($O80&lt;&gt;"","CHECK CLOSURE STATUS",IF($N80&lt;Assumptions!$K$4,"OVERDUE — HUMAN CHECK","Open within target")))),"CHECK DATES")))))</f>
        <v/>
      </c>
      <c r="R80" s="14" t="n"/>
      <c r="S80" s="16" t="n"/>
    </row>
    <row r="81" ht="30" customHeight="1">
      <c r="A81" s="14" t="n"/>
      <c r="B81" s="15" t="n"/>
      <c r="C81" s="14" t="n"/>
      <c r="D81" s="14" t="n"/>
      <c r="E81" s="14" t="n"/>
      <c r="F81" s="16" t="n"/>
      <c r="G81" s="14" t="n"/>
      <c r="H81" s="15" t="n"/>
      <c r="I81" s="16" t="n"/>
      <c r="J81" s="16" t="n"/>
      <c r="K81" s="17" t="n"/>
      <c r="L81" s="14" t="n"/>
      <c r="M81" s="21">
        <f>IF($A81="","",IF($E81="","",IFERROR(VLOOKUP($E81,Assumptions!$A$4:$B$10,2,FALSE),"")))</f>
        <v/>
      </c>
      <c r="N81" s="22">
        <f>IF(OR($A81="",$B81="",$M81=""),"",IFERROR($B81+$M81,""))</f>
        <v/>
      </c>
      <c r="O81" s="15" t="n"/>
      <c r="P81" s="21">
        <f>IF($A81="","",IF(OR($B81="",$L81=""),"",IFERROR(IF($L81="Closed",IF($O81="","",MAX(0,$O81-$B81)),IF(Assumptions!$K$4="","",MAX(0,Assumptions!$K$4-$B81))),"")))</f>
        <v/>
      </c>
      <c r="Q81" s="23">
        <f>IF($A81="","",IF(OR($B81="",$E81="",$G81="",$L81="",$M81="",$N81=""),"CHECK REQUIRED",IF(COUNTIF(Assumptions!$D$4:$D$7,$L81)=0,"CHECK STATUS",IF(Assumptions!$K$4="","CHECK AS-OF DATE",IFERROR(IF(OR($B81&gt;Assumptions!$K$4,AND($H81&lt;&gt;"",OR($H81&lt;$B81,$H81&gt;Assumptions!$K$4))),"CHECK DATES",IF($L81="Closed",IF($O81="","CHECK CLOSURE DATE",IF(OR($O81&lt;$B81,$O81&gt;Assumptions!$K$4),"CHECK DATES",IF($O81&lt;=$N81,"Closed within target","Closed past target"))),IF($O81&lt;&gt;"","CHECK CLOSURE STATUS",IF($N81&lt;Assumptions!$K$4,"OVERDUE — HUMAN CHECK","Open within target")))),"CHECK DATES")))))</f>
        <v/>
      </c>
      <c r="R81" s="14" t="n"/>
      <c r="S81" s="16" t="n"/>
    </row>
    <row r="82" ht="30" customHeight="1">
      <c r="A82" s="14" t="n"/>
      <c r="B82" s="15" t="n"/>
      <c r="C82" s="14" t="n"/>
      <c r="D82" s="14" t="n"/>
      <c r="E82" s="14" t="n"/>
      <c r="F82" s="16" t="n"/>
      <c r="G82" s="14" t="n"/>
      <c r="H82" s="15" t="n"/>
      <c r="I82" s="16" t="n"/>
      <c r="J82" s="16" t="n"/>
      <c r="K82" s="17" t="n"/>
      <c r="L82" s="14" t="n"/>
      <c r="M82" s="18">
        <f>IF($A82="","",IF($E82="","",IFERROR(VLOOKUP($E82,Assumptions!$A$4:$B$10,2,FALSE),"")))</f>
        <v/>
      </c>
      <c r="N82" s="19">
        <f>IF(OR($A82="",$B82="",$M82=""),"",IFERROR($B82+$M82,""))</f>
        <v/>
      </c>
      <c r="O82" s="15" t="n"/>
      <c r="P82" s="18">
        <f>IF($A82="","",IF(OR($B82="",$L82=""),"",IFERROR(IF($L82="Closed",IF($O82="","",MAX(0,$O82-$B82)),IF(Assumptions!$K$4="","",MAX(0,Assumptions!$K$4-$B82))),"")))</f>
        <v/>
      </c>
      <c r="Q82" s="20">
        <f>IF($A82="","",IF(OR($B82="",$E82="",$G82="",$L82="",$M82="",$N82=""),"CHECK REQUIRED",IF(COUNTIF(Assumptions!$D$4:$D$7,$L82)=0,"CHECK STATUS",IF(Assumptions!$K$4="","CHECK AS-OF DATE",IFERROR(IF(OR($B82&gt;Assumptions!$K$4,AND($H82&lt;&gt;"",OR($H82&lt;$B82,$H82&gt;Assumptions!$K$4))),"CHECK DATES",IF($L82="Closed",IF($O82="","CHECK CLOSURE DATE",IF(OR($O82&lt;$B82,$O82&gt;Assumptions!$K$4),"CHECK DATES",IF($O82&lt;=$N82,"Closed within target","Closed past target"))),IF($O82&lt;&gt;"","CHECK CLOSURE STATUS",IF($N82&lt;Assumptions!$K$4,"OVERDUE — HUMAN CHECK","Open within target")))),"CHECK DATES")))))</f>
        <v/>
      </c>
      <c r="R82" s="14" t="n"/>
      <c r="S82" s="16" t="n"/>
    </row>
    <row r="83" ht="30" customHeight="1">
      <c r="A83" s="14" t="n"/>
      <c r="B83" s="15" t="n"/>
      <c r="C83" s="14" t="n"/>
      <c r="D83" s="14" t="n"/>
      <c r="E83" s="14" t="n"/>
      <c r="F83" s="16" t="n"/>
      <c r="G83" s="14" t="n"/>
      <c r="H83" s="15" t="n"/>
      <c r="I83" s="16" t="n"/>
      <c r="J83" s="16" t="n"/>
      <c r="K83" s="17" t="n"/>
      <c r="L83" s="14" t="n"/>
      <c r="M83" s="21">
        <f>IF($A83="","",IF($E83="","",IFERROR(VLOOKUP($E83,Assumptions!$A$4:$B$10,2,FALSE),"")))</f>
        <v/>
      </c>
      <c r="N83" s="22">
        <f>IF(OR($A83="",$B83="",$M83=""),"",IFERROR($B83+$M83,""))</f>
        <v/>
      </c>
      <c r="O83" s="15" t="n"/>
      <c r="P83" s="21">
        <f>IF($A83="","",IF(OR($B83="",$L83=""),"",IFERROR(IF($L83="Closed",IF($O83="","",MAX(0,$O83-$B83)),IF(Assumptions!$K$4="","",MAX(0,Assumptions!$K$4-$B83))),"")))</f>
        <v/>
      </c>
      <c r="Q83" s="23">
        <f>IF($A83="","",IF(OR($B83="",$E83="",$G83="",$L83="",$M83="",$N83=""),"CHECK REQUIRED",IF(COUNTIF(Assumptions!$D$4:$D$7,$L83)=0,"CHECK STATUS",IF(Assumptions!$K$4="","CHECK AS-OF DATE",IFERROR(IF(OR($B83&gt;Assumptions!$K$4,AND($H83&lt;&gt;"",OR($H83&lt;$B83,$H83&gt;Assumptions!$K$4))),"CHECK DATES",IF($L83="Closed",IF($O83="","CHECK CLOSURE DATE",IF(OR($O83&lt;$B83,$O83&gt;Assumptions!$K$4),"CHECK DATES",IF($O83&lt;=$N83,"Closed within target","Closed past target"))),IF($O83&lt;&gt;"","CHECK CLOSURE STATUS",IF($N83&lt;Assumptions!$K$4,"OVERDUE — HUMAN CHECK","Open within target")))),"CHECK DATES")))))</f>
        <v/>
      </c>
      <c r="R83" s="14" t="n"/>
      <c r="S83" s="16" t="n"/>
    </row>
    <row r="84" ht="30" customHeight="1">
      <c r="A84" s="14" t="n"/>
      <c r="B84" s="15" t="n"/>
      <c r="C84" s="14" t="n"/>
      <c r="D84" s="14" t="n"/>
      <c r="E84" s="14" t="n"/>
      <c r="F84" s="16" t="n"/>
      <c r="G84" s="14" t="n"/>
      <c r="H84" s="15" t="n"/>
      <c r="I84" s="16" t="n"/>
      <c r="J84" s="16" t="n"/>
      <c r="K84" s="17" t="n"/>
      <c r="L84" s="14" t="n"/>
      <c r="M84" s="18">
        <f>IF($A84="","",IF($E84="","",IFERROR(VLOOKUP($E84,Assumptions!$A$4:$B$10,2,FALSE),"")))</f>
        <v/>
      </c>
      <c r="N84" s="19">
        <f>IF(OR($A84="",$B84="",$M84=""),"",IFERROR($B84+$M84,""))</f>
        <v/>
      </c>
      <c r="O84" s="15" t="n"/>
      <c r="P84" s="18">
        <f>IF($A84="","",IF(OR($B84="",$L84=""),"",IFERROR(IF($L84="Closed",IF($O84="","",MAX(0,$O84-$B84)),IF(Assumptions!$K$4="","",MAX(0,Assumptions!$K$4-$B84))),"")))</f>
        <v/>
      </c>
      <c r="Q84" s="20">
        <f>IF($A84="","",IF(OR($B84="",$E84="",$G84="",$L84="",$M84="",$N84=""),"CHECK REQUIRED",IF(COUNTIF(Assumptions!$D$4:$D$7,$L84)=0,"CHECK STATUS",IF(Assumptions!$K$4="","CHECK AS-OF DATE",IFERROR(IF(OR($B84&gt;Assumptions!$K$4,AND($H84&lt;&gt;"",OR($H84&lt;$B84,$H84&gt;Assumptions!$K$4))),"CHECK DATES",IF($L84="Closed",IF($O84="","CHECK CLOSURE DATE",IF(OR($O84&lt;$B84,$O84&gt;Assumptions!$K$4),"CHECK DATES",IF($O84&lt;=$N84,"Closed within target","Closed past target"))),IF($O84&lt;&gt;"","CHECK CLOSURE STATUS",IF($N84&lt;Assumptions!$K$4,"OVERDUE — HUMAN CHECK","Open within target")))),"CHECK DATES")))))</f>
        <v/>
      </c>
      <c r="R84" s="14" t="n"/>
      <c r="S84" s="16" t="n"/>
    </row>
    <row r="85" ht="30" customHeight="1">
      <c r="A85" s="14" t="n"/>
      <c r="B85" s="15" t="n"/>
      <c r="C85" s="14" t="n"/>
      <c r="D85" s="14" t="n"/>
      <c r="E85" s="14" t="n"/>
      <c r="F85" s="16" t="n"/>
      <c r="G85" s="14" t="n"/>
      <c r="H85" s="15" t="n"/>
      <c r="I85" s="16" t="n"/>
      <c r="J85" s="16" t="n"/>
      <c r="K85" s="17" t="n"/>
      <c r="L85" s="14" t="n"/>
      <c r="M85" s="21">
        <f>IF($A85="","",IF($E85="","",IFERROR(VLOOKUP($E85,Assumptions!$A$4:$B$10,2,FALSE),"")))</f>
        <v/>
      </c>
      <c r="N85" s="22">
        <f>IF(OR($A85="",$B85="",$M85=""),"",IFERROR($B85+$M85,""))</f>
        <v/>
      </c>
      <c r="O85" s="15" t="n"/>
      <c r="P85" s="21">
        <f>IF($A85="","",IF(OR($B85="",$L85=""),"",IFERROR(IF($L85="Closed",IF($O85="","",MAX(0,$O85-$B85)),IF(Assumptions!$K$4="","",MAX(0,Assumptions!$K$4-$B85))),"")))</f>
        <v/>
      </c>
      <c r="Q85" s="23">
        <f>IF($A85="","",IF(OR($B85="",$E85="",$G85="",$L85="",$M85="",$N85=""),"CHECK REQUIRED",IF(COUNTIF(Assumptions!$D$4:$D$7,$L85)=0,"CHECK STATUS",IF(Assumptions!$K$4="","CHECK AS-OF DATE",IFERROR(IF(OR($B85&gt;Assumptions!$K$4,AND($H85&lt;&gt;"",OR($H85&lt;$B85,$H85&gt;Assumptions!$K$4))),"CHECK DATES",IF($L85="Closed",IF($O85="","CHECK CLOSURE DATE",IF(OR($O85&lt;$B85,$O85&gt;Assumptions!$K$4),"CHECK DATES",IF($O85&lt;=$N85,"Closed within target","Closed past target"))),IF($O85&lt;&gt;"","CHECK CLOSURE STATUS",IF($N85&lt;Assumptions!$K$4,"OVERDUE — HUMAN CHECK","Open within target")))),"CHECK DATES")))))</f>
        <v/>
      </c>
      <c r="R85" s="14" t="n"/>
      <c r="S85" s="16" t="n"/>
    </row>
    <row r="86" ht="30" customHeight="1">
      <c r="A86" s="14" t="n"/>
      <c r="B86" s="15" t="n"/>
      <c r="C86" s="14" t="n"/>
      <c r="D86" s="14" t="n"/>
      <c r="E86" s="14" t="n"/>
      <c r="F86" s="16" t="n"/>
      <c r="G86" s="14" t="n"/>
      <c r="H86" s="15" t="n"/>
      <c r="I86" s="16" t="n"/>
      <c r="J86" s="16" t="n"/>
      <c r="K86" s="17" t="n"/>
      <c r="L86" s="14" t="n"/>
      <c r="M86" s="18">
        <f>IF($A86="","",IF($E86="","",IFERROR(VLOOKUP($E86,Assumptions!$A$4:$B$10,2,FALSE),"")))</f>
        <v/>
      </c>
      <c r="N86" s="19">
        <f>IF(OR($A86="",$B86="",$M86=""),"",IFERROR($B86+$M86,""))</f>
        <v/>
      </c>
      <c r="O86" s="15" t="n"/>
      <c r="P86" s="18">
        <f>IF($A86="","",IF(OR($B86="",$L86=""),"",IFERROR(IF($L86="Closed",IF($O86="","",MAX(0,$O86-$B86)),IF(Assumptions!$K$4="","",MAX(0,Assumptions!$K$4-$B86))),"")))</f>
        <v/>
      </c>
      <c r="Q86" s="20">
        <f>IF($A86="","",IF(OR($B86="",$E86="",$G86="",$L86="",$M86="",$N86=""),"CHECK REQUIRED",IF(COUNTIF(Assumptions!$D$4:$D$7,$L86)=0,"CHECK STATUS",IF(Assumptions!$K$4="","CHECK AS-OF DATE",IFERROR(IF(OR($B86&gt;Assumptions!$K$4,AND($H86&lt;&gt;"",OR($H86&lt;$B86,$H86&gt;Assumptions!$K$4))),"CHECK DATES",IF($L86="Closed",IF($O86="","CHECK CLOSURE DATE",IF(OR($O86&lt;$B86,$O86&gt;Assumptions!$K$4),"CHECK DATES",IF($O86&lt;=$N86,"Closed within target","Closed past target"))),IF($O86&lt;&gt;"","CHECK CLOSURE STATUS",IF($N86&lt;Assumptions!$K$4,"OVERDUE — HUMAN CHECK","Open within target")))),"CHECK DATES")))))</f>
        <v/>
      </c>
      <c r="R86" s="14" t="n"/>
      <c r="S86" s="16" t="n"/>
    </row>
    <row r="87" ht="30" customHeight="1">
      <c r="A87" s="14" t="n"/>
      <c r="B87" s="15" t="n"/>
      <c r="C87" s="14" t="n"/>
      <c r="D87" s="14" t="n"/>
      <c r="E87" s="14" t="n"/>
      <c r="F87" s="16" t="n"/>
      <c r="G87" s="14" t="n"/>
      <c r="H87" s="15" t="n"/>
      <c r="I87" s="16" t="n"/>
      <c r="J87" s="16" t="n"/>
      <c r="K87" s="17" t="n"/>
      <c r="L87" s="14" t="n"/>
      <c r="M87" s="21">
        <f>IF($A87="","",IF($E87="","",IFERROR(VLOOKUP($E87,Assumptions!$A$4:$B$10,2,FALSE),"")))</f>
        <v/>
      </c>
      <c r="N87" s="22">
        <f>IF(OR($A87="",$B87="",$M87=""),"",IFERROR($B87+$M87,""))</f>
        <v/>
      </c>
      <c r="O87" s="15" t="n"/>
      <c r="P87" s="21">
        <f>IF($A87="","",IF(OR($B87="",$L87=""),"",IFERROR(IF($L87="Closed",IF($O87="","",MAX(0,$O87-$B87)),IF(Assumptions!$K$4="","",MAX(0,Assumptions!$K$4-$B87))),"")))</f>
        <v/>
      </c>
      <c r="Q87" s="23">
        <f>IF($A87="","",IF(OR($B87="",$E87="",$G87="",$L87="",$M87="",$N87=""),"CHECK REQUIRED",IF(COUNTIF(Assumptions!$D$4:$D$7,$L87)=0,"CHECK STATUS",IF(Assumptions!$K$4="","CHECK AS-OF DATE",IFERROR(IF(OR($B87&gt;Assumptions!$K$4,AND($H87&lt;&gt;"",OR($H87&lt;$B87,$H87&gt;Assumptions!$K$4))),"CHECK DATES",IF($L87="Closed",IF($O87="","CHECK CLOSURE DATE",IF(OR($O87&lt;$B87,$O87&gt;Assumptions!$K$4),"CHECK DATES",IF($O87&lt;=$N87,"Closed within target","Closed past target"))),IF($O87&lt;&gt;"","CHECK CLOSURE STATUS",IF($N87&lt;Assumptions!$K$4,"OVERDUE — HUMAN CHECK","Open within target")))),"CHECK DATES")))))</f>
        <v/>
      </c>
      <c r="R87" s="14" t="n"/>
      <c r="S87" s="16" t="n"/>
    </row>
    <row r="88" ht="30" customHeight="1">
      <c r="A88" s="14" t="n"/>
      <c r="B88" s="15" t="n"/>
      <c r="C88" s="14" t="n"/>
      <c r="D88" s="14" t="n"/>
      <c r="E88" s="14" t="n"/>
      <c r="F88" s="16" t="n"/>
      <c r="G88" s="14" t="n"/>
      <c r="H88" s="15" t="n"/>
      <c r="I88" s="16" t="n"/>
      <c r="J88" s="16" t="n"/>
      <c r="K88" s="17" t="n"/>
      <c r="L88" s="14" t="n"/>
      <c r="M88" s="18">
        <f>IF($A88="","",IF($E88="","",IFERROR(VLOOKUP($E88,Assumptions!$A$4:$B$10,2,FALSE),"")))</f>
        <v/>
      </c>
      <c r="N88" s="19">
        <f>IF(OR($A88="",$B88="",$M88=""),"",IFERROR($B88+$M88,""))</f>
        <v/>
      </c>
      <c r="O88" s="15" t="n"/>
      <c r="P88" s="18">
        <f>IF($A88="","",IF(OR($B88="",$L88=""),"",IFERROR(IF($L88="Closed",IF($O88="","",MAX(0,$O88-$B88)),IF(Assumptions!$K$4="","",MAX(0,Assumptions!$K$4-$B88))),"")))</f>
        <v/>
      </c>
      <c r="Q88" s="20">
        <f>IF($A88="","",IF(OR($B88="",$E88="",$G88="",$L88="",$M88="",$N88=""),"CHECK REQUIRED",IF(COUNTIF(Assumptions!$D$4:$D$7,$L88)=0,"CHECK STATUS",IF(Assumptions!$K$4="","CHECK AS-OF DATE",IFERROR(IF(OR($B88&gt;Assumptions!$K$4,AND($H88&lt;&gt;"",OR($H88&lt;$B88,$H88&gt;Assumptions!$K$4))),"CHECK DATES",IF($L88="Closed",IF($O88="","CHECK CLOSURE DATE",IF(OR($O88&lt;$B88,$O88&gt;Assumptions!$K$4),"CHECK DATES",IF($O88&lt;=$N88,"Closed within target","Closed past target"))),IF($O88&lt;&gt;"","CHECK CLOSURE STATUS",IF($N88&lt;Assumptions!$K$4,"OVERDUE — HUMAN CHECK","Open within target")))),"CHECK DATES")))))</f>
        <v/>
      </c>
      <c r="R88" s="14" t="n"/>
      <c r="S88" s="16" t="n"/>
    </row>
    <row r="89" ht="30" customHeight="1">
      <c r="A89" s="14" t="n"/>
      <c r="B89" s="15" t="n"/>
      <c r="C89" s="14" t="n"/>
      <c r="D89" s="14" t="n"/>
      <c r="E89" s="14" t="n"/>
      <c r="F89" s="16" t="n"/>
      <c r="G89" s="14" t="n"/>
      <c r="H89" s="15" t="n"/>
      <c r="I89" s="16" t="n"/>
      <c r="J89" s="16" t="n"/>
      <c r="K89" s="17" t="n"/>
      <c r="L89" s="14" t="n"/>
      <c r="M89" s="21">
        <f>IF($A89="","",IF($E89="","",IFERROR(VLOOKUP($E89,Assumptions!$A$4:$B$10,2,FALSE),"")))</f>
        <v/>
      </c>
      <c r="N89" s="22">
        <f>IF(OR($A89="",$B89="",$M89=""),"",IFERROR($B89+$M89,""))</f>
        <v/>
      </c>
      <c r="O89" s="15" t="n"/>
      <c r="P89" s="21">
        <f>IF($A89="","",IF(OR($B89="",$L89=""),"",IFERROR(IF($L89="Closed",IF($O89="","",MAX(0,$O89-$B89)),IF(Assumptions!$K$4="","",MAX(0,Assumptions!$K$4-$B89))),"")))</f>
        <v/>
      </c>
      <c r="Q89" s="23">
        <f>IF($A89="","",IF(OR($B89="",$E89="",$G89="",$L89="",$M89="",$N89=""),"CHECK REQUIRED",IF(COUNTIF(Assumptions!$D$4:$D$7,$L89)=0,"CHECK STATUS",IF(Assumptions!$K$4="","CHECK AS-OF DATE",IFERROR(IF(OR($B89&gt;Assumptions!$K$4,AND($H89&lt;&gt;"",OR($H89&lt;$B89,$H89&gt;Assumptions!$K$4))),"CHECK DATES",IF($L89="Closed",IF($O89="","CHECK CLOSURE DATE",IF(OR($O89&lt;$B89,$O89&gt;Assumptions!$K$4),"CHECK DATES",IF($O89&lt;=$N89,"Closed within target","Closed past target"))),IF($O89&lt;&gt;"","CHECK CLOSURE STATUS",IF($N89&lt;Assumptions!$K$4,"OVERDUE — HUMAN CHECK","Open within target")))),"CHECK DATES")))))</f>
        <v/>
      </c>
      <c r="R89" s="14" t="n"/>
      <c r="S89" s="16" t="n"/>
    </row>
    <row r="90" ht="30" customHeight="1">
      <c r="A90" s="14" t="n"/>
      <c r="B90" s="15" t="n"/>
      <c r="C90" s="14" t="n"/>
      <c r="D90" s="14" t="n"/>
      <c r="E90" s="14" t="n"/>
      <c r="F90" s="16" t="n"/>
      <c r="G90" s="14" t="n"/>
      <c r="H90" s="15" t="n"/>
      <c r="I90" s="16" t="n"/>
      <c r="J90" s="16" t="n"/>
      <c r="K90" s="17" t="n"/>
      <c r="L90" s="14" t="n"/>
      <c r="M90" s="18">
        <f>IF($A90="","",IF($E90="","",IFERROR(VLOOKUP($E90,Assumptions!$A$4:$B$10,2,FALSE),"")))</f>
        <v/>
      </c>
      <c r="N90" s="19">
        <f>IF(OR($A90="",$B90="",$M90=""),"",IFERROR($B90+$M90,""))</f>
        <v/>
      </c>
      <c r="O90" s="15" t="n"/>
      <c r="P90" s="18">
        <f>IF($A90="","",IF(OR($B90="",$L90=""),"",IFERROR(IF($L90="Closed",IF($O90="","",MAX(0,$O90-$B90)),IF(Assumptions!$K$4="","",MAX(0,Assumptions!$K$4-$B90))),"")))</f>
        <v/>
      </c>
      <c r="Q90" s="20">
        <f>IF($A90="","",IF(OR($B90="",$E90="",$G90="",$L90="",$M90="",$N90=""),"CHECK REQUIRED",IF(COUNTIF(Assumptions!$D$4:$D$7,$L90)=0,"CHECK STATUS",IF(Assumptions!$K$4="","CHECK AS-OF DATE",IFERROR(IF(OR($B90&gt;Assumptions!$K$4,AND($H90&lt;&gt;"",OR($H90&lt;$B90,$H90&gt;Assumptions!$K$4))),"CHECK DATES",IF($L90="Closed",IF($O90="","CHECK CLOSURE DATE",IF(OR($O90&lt;$B90,$O90&gt;Assumptions!$K$4),"CHECK DATES",IF($O90&lt;=$N90,"Closed within target","Closed past target"))),IF($O90&lt;&gt;"","CHECK CLOSURE STATUS",IF($N90&lt;Assumptions!$K$4,"OVERDUE — HUMAN CHECK","Open within target")))),"CHECK DATES")))))</f>
        <v/>
      </c>
      <c r="R90" s="14" t="n"/>
      <c r="S90" s="16" t="n"/>
    </row>
    <row r="91" ht="30" customHeight="1">
      <c r="A91" s="14" t="n"/>
      <c r="B91" s="15" t="n"/>
      <c r="C91" s="14" t="n"/>
      <c r="D91" s="14" t="n"/>
      <c r="E91" s="14" t="n"/>
      <c r="F91" s="16" t="n"/>
      <c r="G91" s="14" t="n"/>
      <c r="H91" s="15" t="n"/>
      <c r="I91" s="16" t="n"/>
      <c r="J91" s="16" t="n"/>
      <c r="K91" s="17" t="n"/>
      <c r="L91" s="14" t="n"/>
      <c r="M91" s="21">
        <f>IF($A91="","",IF($E91="","",IFERROR(VLOOKUP($E91,Assumptions!$A$4:$B$10,2,FALSE),"")))</f>
        <v/>
      </c>
      <c r="N91" s="22">
        <f>IF(OR($A91="",$B91="",$M91=""),"",IFERROR($B91+$M91,""))</f>
        <v/>
      </c>
      <c r="O91" s="15" t="n"/>
      <c r="P91" s="21">
        <f>IF($A91="","",IF(OR($B91="",$L91=""),"",IFERROR(IF($L91="Closed",IF($O91="","",MAX(0,$O91-$B91)),IF(Assumptions!$K$4="","",MAX(0,Assumptions!$K$4-$B91))),"")))</f>
        <v/>
      </c>
      <c r="Q91" s="23">
        <f>IF($A91="","",IF(OR($B91="",$E91="",$G91="",$L91="",$M91="",$N91=""),"CHECK REQUIRED",IF(COUNTIF(Assumptions!$D$4:$D$7,$L91)=0,"CHECK STATUS",IF(Assumptions!$K$4="","CHECK AS-OF DATE",IFERROR(IF(OR($B91&gt;Assumptions!$K$4,AND($H91&lt;&gt;"",OR($H91&lt;$B91,$H91&gt;Assumptions!$K$4))),"CHECK DATES",IF($L91="Closed",IF($O91="","CHECK CLOSURE DATE",IF(OR($O91&lt;$B91,$O91&gt;Assumptions!$K$4),"CHECK DATES",IF($O91&lt;=$N91,"Closed within target","Closed past target"))),IF($O91&lt;&gt;"","CHECK CLOSURE STATUS",IF($N91&lt;Assumptions!$K$4,"OVERDUE — HUMAN CHECK","Open within target")))),"CHECK DATES")))))</f>
        <v/>
      </c>
      <c r="R91" s="14" t="n"/>
      <c r="S91" s="16" t="n"/>
    </row>
    <row r="92" ht="30" customHeight="1">
      <c r="A92" s="14" t="n"/>
      <c r="B92" s="15" t="n"/>
      <c r="C92" s="14" t="n"/>
      <c r="D92" s="14" t="n"/>
      <c r="E92" s="14" t="n"/>
      <c r="F92" s="16" t="n"/>
      <c r="G92" s="14" t="n"/>
      <c r="H92" s="15" t="n"/>
      <c r="I92" s="16" t="n"/>
      <c r="J92" s="16" t="n"/>
      <c r="K92" s="17" t="n"/>
      <c r="L92" s="14" t="n"/>
      <c r="M92" s="18">
        <f>IF($A92="","",IF($E92="","",IFERROR(VLOOKUP($E92,Assumptions!$A$4:$B$10,2,FALSE),"")))</f>
        <v/>
      </c>
      <c r="N92" s="19">
        <f>IF(OR($A92="",$B92="",$M92=""),"",IFERROR($B92+$M92,""))</f>
        <v/>
      </c>
      <c r="O92" s="15" t="n"/>
      <c r="P92" s="18">
        <f>IF($A92="","",IF(OR($B92="",$L92=""),"",IFERROR(IF($L92="Closed",IF($O92="","",MAX(0,$O92-$B92)),IF(Assumptions!$K$4="","",MAX(0,Assumptions!$K$4-$B92))),"")))</f>
        <v/>
      </c>
      <c r="Q92" s="20">
        <f>IF($A92="","",IF(OR($B92="",$E92="",$G92="",$L92="",$M92="",$N92=""),"CHECK REQUIRED",IF(COUNTIF(Assumptions!$D$4:$D$7,$L92)=0,"CHECK STATUS",IF(Assumptions!$K$4="","CHECK AS-OF DATE",IFERROR(IF(OR($B92&gt;Assumptions!$K$4,AND($H92&lt;&gt;"",OR($H92&lt;$B92,$H92&gt;Assumptions!$K$4))),"CHECK DATES",IF($L92="Closed",IF($O92="","CHECK CLOSURE DATE",IF(OR($O92&lt;$B92,$O92&gt;Assumptions!$K$4),"CHECK DATES",IF($O92&lt;=$N92,"Closed within target","Closed past target"))),IF($O92&lt;&gt;"","CHECK CLOSURE STATUS",IF($N92&lt;Assumptions!$K$4,"OVERDUE — HUMAN CHECK","Open within target")))),"CHECK DATES")))))</f>
        <v/>
      </c>
      <c r="R92" s="14" t="n"/>
      <c r="S92" s="16" t="n"/>
    </row>
    <row r="93" ht="30" customHeight="1">
      <c r="A93" s="14" t="n"/>
      <c r="B93" s="15" t="n"/>
      <c r="C93" s="14" t="n"/>
      <c r="D93" s="14" t="n"/>
      <c r="E93" s="14" t="n"/>
      <c r="F93" s="16" t="n"/>
      <c r="G93" s="14" t="n"/>
      <c r="H93" s="15" t="n"/>
      <c r="I93" s="16" t="n"/>
      <c r="J93" s="16" t="n"/>
      <c r="K93" s="17" t="n"/>
      <c r="L93" s="14" t="n"/>
      <c r="M93" s="21">
        <f>IF($A93="","",IF($E93="","",IFERROR(VLOOKUP($E93,Assumptions!$A$4:$B$10,2,FALSE),"")))</f>
        <v/>
      </c>
      <c r="N93" s="22">
        <f>IF(OR($A93="",$B93="",$M93=""),"",IFERROR($B93+$M93,""))</f>
        <v/>
      </c>
      <c r="O93" s="15" t="n"/>
      <c r="P93" s="21">
        <f>IF($A93="","",IF(OR($B93="",$L93=""),"",IFERROR(IF($L93="Closed",IF($O93="","",MAX(0,$O93-$B93)),IF(Assumptions!$K$4="","",MAX(0,Assumptions!$K$4-$B93))),"")))</f>
        <v/>
      </c>
      <c r="Q93" s="23">
        <f>IF($A93="","",IF(OR($B93="",$E93="",$G93="",$L93="",$M93="",$N93=""),"CHECK REQUIRED",IF(COUNTIF(Assumptions!$D$4:$D$7,$L93)=0,"CHECK STATUS",IF(Assumptions!$K$4="","CHECK AS-OF DATE",IFERROR(IF(OR($B93&gt;Assumptions!$K$4,AND($H93&lt;&gt;"",OR($H93&lt;$B93,$H93&gt;Assumptions!$K$4))),"CHECK DATES",IF($L93="Closed",IF($O93="","CHECK CLOSURE DATE",IF(OR($O93&lt;$B93,$O93&gt;Assumptions!$K$4),"CHECK DATES",IF($O93&lt;=$N93,"Closed within target","Closed past target"))),IF($O93&lt;&gt;"","CHECK CLOSURE STATUS",IF($N93&lt;Assumptions!$K$4,"OVERDUE — HUMAN CHECK","Open within target")))),"CHECK DATES")))))</f>
        <v/>
      </c>
      <c r="R93" s="14" t="n"/>
      <c r="S93" s="16" t="n"/>
    </row>
    <row r="94" ht="30" customHeight="1">
      <c r="A94" s="14" t="n"/>
      <c r="B94" s="15" t="n"/>
      <c r="C94" s="14" t="n"/>
      <c r="D94" s="14" t="n"/>
      <c r="E94" s="14" t="n"/>
      <c r="F94" s="16" t="n"/>
      <c r="G94" s="14" t="n"/>
      <c r="H94" s="15" t="n"/>
      <c r="I94" s="16" t="n"/>
      <c r="J94" s="16" t="n"/>
      <c r="K94" s="17" t="n"/>
      <c r="L94" s="14" t="n"/>
      <c r="M94" s="18">
        <f>IF($A94="","",IF($E94="","",IFERROR(VLOOKUP($E94,Assumptions!$A$4:$B$10,2,FALSE),"")))</f>
        <v/>
      </c>
      <c r="N94" s="19">
        <f>IF(OR($A94="",$B94="",$M94=""),"",IFERROR($B94+$M94,""))</f>
        <v/>
      </c>
      <c r="O94" s="15" t="n"/>
      <c r="P94" s="18">
        <f>IF($A94="","",IF(OR($B94="",$L94=""),"",IFERROR(IF($L94="Closed",IF($O94="","",MAX(0,$O94-$B94)),IF(Assumptions!$K$4="","",MAX(0,Assumptions!$K$4-$B94))),"")))</f>
        <v/>
      </c>
      <c r="Q94" s="20">
        <f>IF($A94="","",IF(OR($B94="",$E94="",$G94="",$L94="",$M94="",$N94=""),"CHECK REQUIRED",IF(COUNTIF(Assumptions!$D$4:$D$7,$L94)=0,"CHECK STATUS",IF(Assumptions!$K$4="","CHECK AS-OF DATE",IFERROR(IF(OR($B94&gt;Assumptions!$K$4,AND($H94&lt;&gt;"",OR($H94&lt;$B94,$H94&gt;Assumptions!$K$4))),"CHECK DATES",IF($L94="Closed",IF($O94="","CHECK CLOSURE DATE",IF(OR($O94&lt;$B94,$O94&gt;Assumptions!$K$4),"CHECK DATES",IF($O94&lt;=$N94,"Closed within target","Closed past target"))),IF($O94&lt;&gt;"","CHECK CLOSURE STATUS",IF($N94&lt;Assumptions!$K$4,"OVERDUE — HUMAN CHECK","Open within target")))),"CHECK DATES")))))</f>
        <v/>
      </c>
      <c r="R94" s="14" t="n"/>
      <c r="S94" s="16" t="n"/>
    </row>
    <row r="95" ht="30" customHeight="1">
      <c r="A95" s="14" t="n"/>
      <c r="B95" s="15" t="n"/>
      <c r="C95" s="14" t="n"/>
      <c r="D95" s="14" t="n"/>
      <c r="E95" s="14" t="n"/>
      <c r="F95" s="16" t="n"/>
      <c r="G95" s="14" t="n"/>
      <c r="H95" s="15" t="n"/>
      <c r="I95" s="16" t="n"/>
      <c r="J95" s="16" t="n"/>
      <c r="K95" s="17" t="n"/>
      <c r="L95" s="14" t="n"/>
      <c r="M95" s="21">
        <f>IF($A95="","",IF($E95="","",IFERROR(VLOOKUP($E95,Assumptions!$A$4:$B$10,2,FALSE),"")))</f>
        <v/>
      </c>
      <c r="N95" s="22">
        <f>IF(OR($A95="",$B95="",$M95=""),"",IFERROR($B95+$M95,""))</f>
        <v/>
      </c>
      <c r="O95" s="15" t="n"/>
      <c r="P95" s="21">
        <f>IF($A95="","",IF(OR($B95="",$L95=""),"",IFERROR(IF($L95="Closed",IF($O95="","",MAX(0,$O95-$B95)),IF(Assumptions!$K$4="","",MAX(0,Assumptions!$K$4-$B95))),"")))</f>
        <v/>
      </c>
      <c r="Q95" s="23">
        <f>IF($A95="","",IF(OR($B95="",$E95="",$G95="",$L95="",$M95="",$N95=""),"CHECK REQUIRED",IF(COUNTIF(Assumptions!$D$4:$D$7,$L95)=0,"CHECK STATUS",IF(Assumptions!$K$4="","CHECK AS-OF DATE",IFERROR(IF(OR($B95&gt;Assumptions!$K$4,AND($H95&lt;&gt;"",OR($H95&lt;$B95,$H95&gt;Assumptions!$K$4))),"CHECK DATES",IF($L95="Closed",IF($O95="","CHECK CLOSURE DATE",IF(OR($O95&lt;$B95,$O95&gt;Assumptions!$K$4),"CHECK DATES",IF($O95&lt;=$N95,"Closed within target","Closed past target"))),IF($O95&lt;&gt;"","CHECK CLOSURE STATUS",IF($N95&lt;Assumptions!$K$4,"OVERDUE — HUMAN CHECK","Open within target")))),"CHECK DATES")))))</f>
        <v/>
      </c>
      <c r="R95" s="14" t="n"/>
      <c r="S95" s="16" t="n"/>
    </row>
    <row r="96" ht="30" customHeight="1">
      <c r="A96" s="14" t="n"/>
      <c r="B96" s="15" t="n"/>
      <c r="C96" s="14" t="n"/>
      <c r="D96" s="14" t="n"/>
      <c r="E96" s="14" t="n"/>
      <c r="F96" s="16" t="n"/>
      <c r="G96" s="14" t="n"/>
      <c r="H96" s="15" t="n"/>
      <c r="I96" s="16" t="n"/>
      <c r="J96" s="16" t="n"/>
      <c r="K96" s="17" t="n"/>
      <c r="L96" s="14" t="n"/>
      <c r="M96" s="18">
        <f>IF($A96="","",IF($E96="","",IFERROR(VLOOKUP($E96,Assumptions!$A$4:$B$10,2,FALSE),"")))</f>
        <v/>
      </c>
      <c r="N96" s="19">
        <f>IF(OR($A96="",$B96="",$M96=""),"",IFERROR($B96+$M96,""))</f>
        <v/>
      </c>
      <c r="O96" s="15" t="n"/>
      <c r="P96" s="18">
        <f>IF($A96="","",IF(OR($B96="",$L96=""),"",IFERROR(IF($L96="Closed",IF($O96="","",MAX(0,$O96-$B96)),IF(Assumptions!$K$4="","",MAX(0,Assumptions!$K$4-$B96))),"")))</f>
        <v/>
      </c>
      <c r="Q96" s="20">
        <f>IF($A96="","",IF(OR($B96="",$E96="",$G96="",$L96="",$M96="",$N96=""),"CHECK REQUIRED",IF(COUNTIF(Assumptions!$D$4:$D$7,$L96)=0,"CHECK STATUS",IF(Assumptions!$K$4="","CHECK AS-OF DATE",IFERROR(IF(OR($B96&gt;Assumptions!$K$4,AND($H96&lt;&gt;"",OR($H96&lt;$B96,$H96&gt;Assumptions!$K$4))),"CHECK DATES",IF($L96="Closed",IF($O96="","CHECK CLOSURE DATE",IF(OR($O96&lt;$B96,$O96&gt;Assumptions!$K$4),"CHECK DATES",IF($O96&lt;=$N96,"Closed within target","Closed past target"))),IF($O96&lt;&gt;"","CHECK CLOSURE STATUS",IF($N96&lt;Assumptions!$K$4,"OVERDUE — HUMAN CHECK","Open within target")))),"CHECK DATES")))))</f>
        <v/>
      </c>
      <c r="R96" s="14" t="n"/>
      <c r="S96" s="16" t="n"/>
    </row>
    <row r="97" ht="30" customHeight="1">
      <c r="A97" s="14" t="n"/>
      <c r="B97" s="15" t="n"/>
      <c r="C97" s="14" t="n"/>
      <c r="D97" s="14" t="n"/>
      <c r="E97" s="14" t="n"/>
      <c r="F97" s="16" t="n"/>
      <c r="G97" s="14" t="n"/>
      <c r="H97" s="15" t="n"/>
      <c r="I97" s="16" t="n"/>
      <c r="J97" s="16" t="n"/>
      <c r="K97" s="17" t="n"/>
      <c r="L97" s="14" t="n"/>
      <c r="M97" s="21">
        <f>IF($A97="","",IF($E97="","",IFERROR(VLOOKUP($E97,Assumptions!$A$4:$B$10,2,FALSE),"")))</f>
        <v/>
      </c>
      <c r="N97" s="22">
        <f>IF(OR($A97="",$B97="",$M97=""),"",IFERROR($B97+$M97,""))</f>
        <v/>
      </c>
      <c r="O97" s="15" t="n"/>
      <c r="P97" s="21">
        <f>IF($A97="","",IF(OR($B97="",$L97=""),"",IFERROR(IF($L97="Closed",IF($O97="","",MAX(0,$O97-$B97)),IF(Assumptions!$K$4="","",MAX(0,Assumptions!$K$4-$B97))),"")))</f>
        <v/>
      </c>
      <c r="Q97" s="23">
        <f>IF($A97="","",IF(OR($B97="",$E97="",$G97="",$L97="",$M97="",$N97=""),"CHECK REQUIRED",IF(COUNTIF(Assumptions!$D$4:$D$7,$L97)=0,"CHECK STATUS",IF(Assumptions!$K$4="","CHECK AS-OF DATE",IFERROR(IF(OR($B97&gt;Assumptions!$K$4,AND($H97&lt;&gt;"",OR($H97&lt;$B97,$H97&gt;Assumptions!$K$4))),"CHECK DATES",IF($L97="Closed",IF($O97="","CHECK CLOSURE DATE",IF(OR($O97&lt;$B97,$O97&gt;Assumptions!$K$4),"CHECK DATES",IF($O97&lt;=$N97,"Closed within target","Closed past target"))),IF($O97&lt;&gt;"","CHECK CLOSURE STATUS",IF($N97&lt;Assumptions!$K$4,"OVERDUE — HUMAN CHECK","Open within target")))),"CHECK DATES")))))</f>
        <v/>
      </c>
      <c r="R97" s="14" t="n"/>
      <c r="S97" s="16" t="n"/>
    </row>
    <row r="98" ht="30" customHeight="1">
      <c r="A98" s="14" t="n"/>
      <c r="B98" s="15" t="n"/>
      <c r="C98" s="14" t="n"/>
      <c r="D98" s="14" t="n"/>
      <c r="E98" s="14" t="n"/>
      <c r="F98" s="16" t="n"/>
      <c r="G98" s="14" t="n"/>
      <c r="H98" s="15" t="n"/>
      <c r="I98" s="16" t="n"/>
      <c r="J98" s="16" t="n"/>
      <c r="K98" s="17" t="n"/>
      <c r="L98" s="14" t="n"/>
      <c r="M98" s="18">
        <f>IF($A98="","",IF($E98="","",IFERROR(VLOOKUP($E98,Assumptions!$A$4:$B$10,2,FALSE),"")))</f>
        <v/>
      </c>
      <c r="N98" s="19">
        <f>IF(OR($A98="",$B98="",$M98=""),"",IFERROR($B98+$M98,""))</f>
        <v/>
      </c>
      <c r="O98" s="15" t="n"/>
      <c r="P98" s="18">
        <f>IF($A98="","",IF(OR($B98="",$L98=""),"",IFERROR(IF($L98="Closed",IF($O98="","",MAX(0,$O98-$B98)),IF(Assumptions!$K$4="","",MAX(0,Assumptions!$K$4-$B98))),"")))</f>
        <v/>
      </c>
      <c r="Q98" s="20">
        <f>IF($A98="","",IF(OR($B98="",$E98="",$G98="",$L98="",$M98="",$N98=""),"CHECK REQUIRED",IF(COUNTIF(Assumptions!$D$4:$D$7,$L98)=0,"CHECK STATUS",IF(Assumptions!$K$4="","CHECK AS-OF DATE",IFERROR(IF(OR($B98&gt;Assumptions!$K$4,AND($H98&lt;&gt;"",OR($H98&lt;$B98,$H98&gt;Assumptions!$K$4))),"CHECK DATES",IF($L98="Closed",IF($O98="","CHECK CLOSURE DATE",IF(OR($O98&lt;$B98,$O98&gt;Assumptions!$K$4),"CHECK DATES",IF($O98&lt;=$N98,"Closed within target","Closed past target"))),IF($O98&lt;&gt;"","CHECK CLOSURE STATUS",IF($N98&lt;Assumptions!$K$4,"OVERDUE — HUMAN CHECK","Open within target")))),"CHECK DATES")))))</f>
        <v/>
      </c>
      <c r="R98" s="14" t="n"/>
      <c r="S98" s="16" t="n"/>
    </row>
    <row r="99" ht="30" customHeight="1">
      <c r="A99" s="14" t="n"/>
      <c r="B99" s="15" t="n"/>
      <c r="C99" s="14" t="n"/>
      <c r="D99" s="14" t="n"/>
      <c r="E99" s="14" t="n"/>
      <c r="F99" s="16" t="n"/>
      <c r="G99" s="14" t="n"/>
      <c r="H99" s="15" t="n"/>
      <c r="I99" s="16" t="n"/>
      <c r="J99" s="16" t="n"/>
      <c r="K99" s="17" t="n"/>
      <c r="L99" s="14" t="n"/>
      <c r="M99" s="21">
        <f>IF($A99="","",IF($E99="","",IFERROR(VLOOKUP($E99,Assumptions!$A$4:$B$10,2,FALSE),"")))</f>
        <v/>
      </c>
      <c r="N99" s="22">
        <f>IF(OR($A99="",$B99="",$M99=""),"",IFERROR($B99+$M99,""))</f>
        <v/>
      </c>
      <c r="O99" s="15" t="n"/>
      <c r="P99" s="21">
        <f>IF($A99="","",IF(OR($B99="",$L99=""),"",IFERROR(IF($L99="Closed",IF($O99="","",MAX(0,$O99-$B99)),IF(Assumptions!$K$4="","",MAX(0,Assumptions!$K$4-$B99))),"")))</f>
        <v/>
      </c>
      <c r="Q99" s="23">
        <f>IF($A99="","",IF(OR($B99="",$E99="",$G99="",$L99="",$M99="",$N99=""),"CHECK REQUIRED",IF(COUNTIF(Assumptions!$D$4:$D$7,$L99)=0,"CHECK STATUS",IF(Assumptions!$K$4="","CHECK AS-OF DATE",IFERROR(IF(OR($B99&gt;Assumptions!$K$4,AND($H99&lt;&gt;"",OR($H99&lt;$B99,$H99&gt;Assumptions!$K$4))),"CHECK DATES",IF($L99="Closed",IF($O99="","CHECK CLOSURE DATE",IF(OR($O99&lt;$B99,$O99&gt;Assumptions!$K$4),"CHECK DATES",IF($O99&lt;=$N99,"Closed within target","Closed past target"))),IF($O99&lt;&gt;"","CHECK CLOSURE STATUS",IF($N99&lt;Assumptions!$K$4,"OVERDUE — HUMAN CHECK","Open within target")))),"CHECK DATES")))))</f>
        <v/>
      </c>
      <c r="R99" s="14" t="n"/>
      <c r="S99" s="16" t="n"/>
    </row>
    <row r="100" ht="30" customHeight="1">
      <c r="A100" s="14" t="n"/>
      <c r="B100" s="15" t="n"/>
      <c r="C100" s="14" t="n"/>
      <c r="D100" s="14" t="n"/>
      <c r="E100" s="14" t="n"/>
      <c r="F100" s="16" t="n"/>
      <c r="G100" s="14" t="n"/>
      <c r="H100" s="15" t="n"/>
      <c r="I100" s="16" t="n"/>
      <c r="J100" s="16" t="n"/>
      <c r="K100" s="17" t="n"/>
      <c r="L100" s="14" t="n"/>
      <c r="M100" s="18">
        <f>IF($A100="","",IF($E100="","",IFERROR(VLOOKUP($E100,Assumptions!$A$4:$B$10,2,FALSE),"")))</f>
        <v/>
      </c>
      <c r="N100" s="19">
        <f>IF(OR($A100="",$B100="",$M100=""),"",IFERROR($B100+$M100,""))</f>
        <v/>
      </c>
      <c r="O100" s="15" t="n"/>
      <c r="P100" s="18">
        <f>IF($A100="","",IF(OR($B100="",$L100=""),"",IFERROR(IF($L100="Closed",IF($O100="","",MAX(0,$O100-$B100)),IF(Assumptions!$K$4="","",MAX(0,Assumptions!$K$4-$B100))),"")))</f>
        <v/>
      </c>
      <c r="Q100" s="20">
        <f>IF($A100="","",IF(OR($B100="",$E100="",$G100="",$L100="",$M100="",$N100=""),"CHECK REQUIRED",IF(COUNTIF(Assumptions!$D$4:$D$7,$L100)=0,"CHECK STATUS",IF(Assumptions!$K$4="","CHECK AS-OF DATE",IFERROR(IF(OR($B100&gt;Assumptions!$K$4,AND($H100&lt;&gt;"",OR($H100&lt;$B100,$H100&gt;Assumptions!$K$4))),"CHECK DATES",IF($L100="Closed",IF($O100="","CHECK CLOSURE DATE",IF(OR($O100&lt;$B100,$O100&gt;Assumptions!$K$4),"CHECK DATES",IF($O100&lt;=$N100,"Closed within target","Closed past target"))),IF($O100&lt;&gt;"","CHECK CLOSURE STATUS",IF($N100&lt;Assumptions!$K$4,"OVERDUE — HUMAN CHECK","Open within target")))),"CHECK DATES")))))</f>
        <v/>
      </c>
      <c r="R100" s="14" t="n"/>
      <c r="S100" s="16" t="n"/>
    </row>
    <row r="101" ht="30" customHeight="1">
      <c r="A101" s="14" t="n"/>
      <c r="B101" s="15" t="n"/>
      <c r="C101" s="14" t="n"/>
      <c r="D101" s="14" t="n"/>
      <c r="E101" s="14" t="n"/>
      <c r="F101" s="16" t="n"/>
      <c r="G101" s="14" t="n"/>
      <c r="H101" s="15" t="n"/>
      <c r="I101" s="16" t="n"/>
      <c r="J101" s="16" t="n"/>
      <c r="K101" s="17" t="n"/>
      <c r="L101" s="14" t="n"/>
      <c r="M101" s="21">
        <f>IF($A101="","",IF($E101="","",IFERROR(VLOOKUP($E101,Assumptions!$A$4:$B$10,2,FALSE),"")))</f>
        <v/>
      </c>
      <c r="N101" s="22">
        <f>IF(OR($A101="",$B101="",$M101=""),"",IFERROR($B101+$M101,""))</f>
        <v/>
      </c>
      <c r="O101" s="15" t="n"/>
      <c r="P101" s="21">
        <f>IF($A101="","",IF(OR($B101="",$L101=""),"",IFERROR(IF($L101="Closed",IF($O101="","",MAX(0,$O101-$B101)),IF(Assumptions!$K$4="","",MAX(0,Assumptions!$K$4-$B101))),"")))</f>
        <v/>
      </c>
      <c r="Q101" s="23">
        <f>IF($A101="","",IF(OR($B101="",$E101="",$G101="",$L101="",$M101="",$N101=""),"CHECK REQUIRED",IF(COUNTIF(Assumptions!$D$4:$D$7,$L101)=0,"CHECK STATUS",IF(Assumptions!$K$4="","CHECK AS-OF DATE",IFERROR(IF(OR($B101&gt;Assumptions!$K$4,AND($H101&lt;&gt;"",OR($H101&lt;$B101,$H101&gt;Assumptions!$K$4))),"CHECK DATES",IF($L101="Closed",IF($O101="","CHECK CLOSURE DATE",IF(OR($O101&lt;$B101,$O101&gt;Assumptions!$K$4),"CHECK DATES",IF($O101&lt;=$N101,"Closed within target","Closed past target"))),IF($O101&lt;&gt;"","CHECK CLOSURE STATUS",IF($N101&lt;Assumptions!$K$4,"OVERDUE — HUMAN CHECK","Open within target")))),"CHECK DATES")))))</f>
        <v/>
      </c>
      <c r="R101" s="14" t="n"/>
      <c r="S101" s="16" t="n"/>
    </row>
    <row r="102" ht="30" customHeight="1">
      <c r="A102" s="14" t="n"/>
      <c r="B102" s="15" t="n"/>
      <c r="C102" s="14" t="n"/>
      <c r="D102" s="14" t="n"/>
      <c r="E102" s="14" t="n"/>
      <c r="F102" s="16" t="n"/>
      <c r="G102" s="14" t="n"/>
      <c r="H102" s="15" t="n"/>
      <c r="I102" s="16" t="n"/>
      <c r="J102" s="16" t="n"/>
      <c r="K102" s="17" t="n"/>
      <c r="L102" s="14" t="n"/>
      <c r="M102" s="18">
        <f>IF($A102="","",IF($E102="","",IFERROR(VLOOKUP($E102,Assumptions!$A$4:$B$10,2,FALSE),"")))</f>
        <v/>
      </c>
      <c r="N102" s="19">
        <f>IF(OR($A102="",$B102="",$M102=""),"",IFERROR($B102+$M102,""))</f>
        <v/>
      </c>
      <c r="O102" s="15" t="n"/>
      <c r="P102" s="18">
        <f>IF($A102="","",IF(OR($B102="",$L102=""),"",IFERROR(IF($L102="Closed",IF($O102="","",MAX(0,$O102-$B102)),IF(Assumptions!$K$4="","",MAX(0,Assumptions!$K$4-$B102))),"")))</f>
        <v/>
      </c>
      <c r="Q102" s="20">
        <f>IF($A102="","",IF(OR($B102="",$E102="",$G102="",$L102="",$M102="",$N102=""),"CHECK REQUIRED",IF(COUNTIF(Assumptions!$D$4:$D$7,$L102)=0,"CHECK STATUS",IF(Assumptions!$K$4="","CHECK AS-OF DATE",IFERROR(IF(OR($B102&gt;Assumptions!$K$4,AND($H102&lt;&gt;"",OR($H102&lt;$B102,$H102&gt;Assumptions!$K$4))),"CHECK DATES",IF($L102="Closed",IF($O102="","CHECK CLOSURE DATE",IF(OR($O102&lt;$B102,$O102&gt;Assumptions!$K$4),"CHECK DATES",IF($O102&lt;=$N102,"Closed within target","Closed past target"))),IF($O102&lt;&gt;"","CHECK CLOSURE STATUS",IF($N102&lt;Assumptions!$K$4,"OVERDUE — HUMAN CHECK","Open within target")))),"CHECK DATES")))))</f>
        <v/>
      </c>
      <c r="R102" s="14" t="n"/>
      <c r="S102" s="16" t="n"/>
    </row>
    <row r="103" ht="30" customHeight="1">
      <c r="A103" s="14" t="n"/>
      <c r="B103" s="15" t="n"/>
      <c r="C103" s="14" t="n"/>
      <c r="D103" s="14" t="n"/>
      <c r="E103" s="14" t="n"/>
      <c r="F103" s="16" t="n"/>
      <c r="G103" s="14" t="n"/>
      <c r="H103" s="15" t="n"/>
      <c r="I103" s="16" t="n"/>
      <c r="J103" s="16" t="n"/>
      <c r="K103" s="17" t="n"/>
      <c r="L103" s="14" t="n"/>
      <c r="M103" s="21">
        <f>IF($A103="","",IF($E103="","",IFERROR(VLOOKUP($E103,Assumptions!$A$4:$B$10,2,FALSE),"")))</f>
        <v/>
      </c>
      <c r="N103" s="22">
        <f>IF(OR($A103="",$B103="",$M103=""),"",IFERROR($B103+$M103,""))</f>
        <v/>
      </c>
      <c r="O103" s="15" t="n"/>
      <c r="P103" s="21">
        <f>IF($A103="","",IF(OR($B103="",$L103=""),"",IFERROR(IF($L103="Closed",IF($O103="","",MAX(0,$O103-$B103)),IF(Assumptions!$K$4="","",MAX(0,Assumptions!$K$4-$B103))),"")))</f>
        <v/>
      </c>
      <c r="Q103" s="23">
        <f>IF($A103="","",IF(OR($B103="",$E103="",$G103="",$L103="",$M103="",$N103=""),"CHECK REQUIRED",IF(COUNTIF(Assumptions!$D$4:$D$7,$L103)=0,"CHECK STATUS",IF(Assumptions!$K$4="","CHECK AS-OF DATE",IFERROR(IF(OR($B103&gt;Assumptions!$K$4,AND($H103&lt;&gt;"",OR($H103&lt;$B103,$H103&gt;Assumptions!$K$4))),"CHECK DATES",IF($L103="Closed",IF($O103="","CHECK CLOSURE DATE",IF(OR($O103&lt;$B103,$O103&gt;Assumptions!$K$4),"CHECK DATES",IF($O103&lt;=$N103,"Closed within target","Closed past target"))),IF($O103&lt;&gt;"","CHECK CLOSURE STATUS",IF($N103&lt;Assumptions!$K$4,"OVERDUE — HUMAN CHECK","Open within target")))),"CHECK DATES")))))</f>
        <v/>
      </c>
      <c r="R103" s="14" t="n"/>
      <c r="S103" s="16" t="n"/>
    </row>
  </sheetData>
  <autoFilter ref="A3:S103"/>
  <mergeCells count="1">
    <mergeCell ref="A1:S1"/>
  </mergeCells>
  <conditionalFormatting sqref="Q4:Q103">
    <cfRule type="expression" priority="1" dxfId="0">
      <formula>OR($Q4="OVERDUE — HUMAN CHECK",LEFT($Q4,5)="CHECK")</formula>
    </cfRule>
    <cfRule type="expression" priority="2" dxfId="1">
      <formula>$Q4="Closed within target"</formula>
    </cfRule>
  </conditionalFormatting>
  <conditionalFormatting sqref="A4:A103">
    <cfRule type="expression" priority="3" dxfId="0">
      <formula>AND($A4&lt;&gt;"",COUNTIF($A$4:$A$103,$A4)&gt;1)</formula>
    </cfRule>
  </conditionalFormatting>
  <conditionalFormatting sqref="H4:H103">
    <cfRule type="expression" priority="4" dxfId="0">
      <formula>AND($A4&lt;&gt;"",$H4&lt;&gt;"",$B4&lt;&gt;"",$H4&lt;$B4)</formula>
    </cfRule>
  </conditionalFormatting>
  <conditionalFormatting sqref="O4:O103">
    <cfRule type="expression" priority="5" dxfId="0">
      <formula>AND($A4&lt;&gt;"",$O4&lt;&gt;"",$B4&lt;&gt;"",$O4&lt;$B4)</formula>
    </cfRule>
  </conditionalFormatting>
  <conditionalFormatting sqref="R4:R103">
    <cfRule type="expression" priority="6" dxfId="0">
      <formula>$R4="Yes"</formula>
    </cfRule>
  </conditionalFormatting>
  <dataValidations count="5">
    <dataValidation sqref="E4:E103" showDropDown="0" showInputMessage="1" showErrorMessage="1" allowBlank="0" errorTitle="Category not listed" error="Choose a category from the Assumptions list." promptTitle="Complaint category" prompt="Choose a category from the editable Assumptions list." type="list">
      <formula1>=INDIRECT("Assumptions!$A$4:$A$10")</formula1>
    </dataValidation>
    <dataValidation sqref="G4:G103" showDropDown="0" showInputMessage="1" showErrorMessage="1" allowBlank="0" errorTitle="Assignment not listed" error="Choose an assignment from the Assumptions list." promptTitle="Complaint owner" prompt="Choose a fictional assignment from Assumptions." type="list">
      <formula1>=INDIRECT("Assumptions!$F$4:$F$6")</formula1>
    </dataValidation>
    <dataValidation sqref="L4:L103" showDropDown="0" showInputMessage="1" showErrorMessage="1" allowBlank="0" errorTitle="Status not listed" error="Choose a status from the Assumptions list." promptTitle="Complaint status" prompt="Choose the current status." type="list">
      <formula1>=INDIRECT("Assumptions!$D$4:$D$7")</formula1>
    </dataValidation>
    <dataValidation sqref="R4:R103" showDropDown="0" showInputMessage="1" showErrorMessage="1" allowBlank="0" errorTitle="Choice not listed" error="Choose a follow-up option from Assumptions." promptTitle="Follow-up choice" prompt="Choose Yes or No." type="list">
      <formula1>=INDIRECT("Assumptions!$H$4:$H$5")</formula1>
    </dataValidation>
    <dataValidation sqref="K4:K103" showDropDown="0" showInputMessage="1" showErrorMessage="1" allowBlank="0" errorTitle="Invalid amount" error="Enter zero or a positive number." promptTitle="Remedy amount" prompt="Enter a nonnegative US dollar amount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" customWidth="1" min="3" max="3"/>
    <col width="18" customWidth="1" min="4" max="4"/>
    <col width="3" customWidth="1" min="5" max="5"/>
    <col width="28" customWidth="1" min="6" max="6"/>
    <col width="3" customWidth="1" min="7" max="7"/>
    <col width="19" customWidth="1" min="8" max="8"/>
    <col width="3" customWidth="1" min="9" max="9"/>
    <col width="25" customWidth="1" min="10" max="10"/>
    <col width="17" customWidth="1" min="11" max="11"/>
  </cols>
  <sheetData>
    <row r="1" ht="30" customHeight="1">
      <c r="A1" s="1" t="inlineStr">
        <is>
          <t>Pet Complaint Resolution Log — Editable Assumptions</t>
        </is>
      </c>
    </row>
    <row r="2" ht="28" customHeight="1">
      <c r="A2" s="2" t="inlineStr">
        <is>
          <t>Yellow cells are editable.</t>
        </is>
      </c>
      <c r="D2" s="2" t="inlineStr">
        <is>
          <t>Lists feed Complaint Log choices.</t>
        </is>
      </c>
      <c r="J2" s="2" t="inlineStr">
        <is>
          <t>Targets are planning aids, not guarantees.</t>
        </is>
      </c>
    </row>
    <row r="3" ht="38" customHeight="1">
      <c r="A3" s="4" t="inlineStr">
        <is>
          <t>Complaint Category</t>
        </is>
      </c>
      <c r="B3" s="4" t="inlineStr">
        <is>
          <t>Target Calendar Days</t>
        </is>
      </c>
      <c r="D3" s="4" t="inlineStr">
        <is>
          <t>Status</t>
        </is>
      </c>
      <c r="F3" s="4" t="inlineStr">
        <is>
          <t>Assigned Complaint Owner</t>
        </is>
      </c>
      <c r="H3" s="4" t="inlineStr">
        <is>
          <t>Follow-Up Choice</t>
        </is>
      </c>
      <c r="J3" s="4" t="inlineStr">
        <is>
          <t>Control</t>
        </is>
      </c>
      <c r="K3" s="4" t="inlineStr">
        <is>
          <t>Editable Value</t>
        </is>
      </c>
    </row>
    <row r="4" ht="26" customHeight="1">
      <c r="A4" s="16" t="inlineStr">
        <is>
          <t>Service quality</t>
        </is>
      </c>
      <c r="B4" s="24" t="n">
        <v>3</v>
      </c>
      <c r="D4" s="16" t="inlineStr">
        <is>
          <t>New</t>
        </is>
      </c>
      <c r="F4" s="16" t="inlineStr">
        <is>
          <t>Fictional Manager A</t>
        </is>
      </c>
      <c r="H4" s="16" t="inlineStr">
        <is>
          <t>Yes</t>
        </is>
      </c>
      <c r="J4" t="inlineStr">
        <is>
          <t>As-of Date</t>
        </is>
      </c>
      <c r="K4" s="15" t="n">
        <v>46274</v>
      </c>
    </row>
    <row r="5" ht="26" customHeight="1">
      <c r="A5" s="16" t="inlineStr">
        <is>
          <t>Scheduling</t>
        </is>
      </c>
      <c r="B5" s="24" t="n">
        <v>2</v>
      </c>
      <c r="D5" s="16" t="inlineStr">
        <is>
          <t>Reviewing</t>
        </is>
      </c>
      <c r="F5" s="16" t="inlineStr">
        <is>
          <t>Fictional Service Lead B</t>
        </is>
      </c>
      <c r="H5" s="16" t="inlineStr">
        <is>
          <t>No</t>
        </is>
      </c>
      <c r="J5" t="inlineStr">
        <is>
          <t>Maximum Target Days</t>
        </is>
      </c>
      <c r="K5" s="24" t="n">
        <v>30</v>
      </c>
    </row>
    <row r="6" ht="26" customHeight="1">
      <c r="A6" s="16" t="inlineStr">
        <is>
          <t>Billing</t>
        </is>
      </c>
      <c r="B6" s="24" t="n">
        <v>3</v>
      </c>
      <c r="D6" s="16" t="inlineStr">
        <is>
          <t>Response Sent</t>
        </is>
      </c>
      <c r="F6" s="16" t="inlineStr">
        <is>
          <t>Fictional Care Lead C</t>
        </is>
      </c>
    </row>
    <row r="7" ht="26" customHeight="1">
      <c r="A7" s="16" t="inlineStr">
        <is>
          <t>Staff interaction</t>
        </is>
      </c>
      <c r="B7" s="24" t="n">
        <v>2</v>
      </c>
      <c r="D7" s="16" t="inlineStr">
        <is>
          <t>Closed</t>
        </is>
      </c>
    </row>
    <row r="8" ht="26" customHeight="1">
      <c r="A8" s="16" t="inlineStr">
        <is>
          <t>Pet care concern</t>
        </is>
      </c>
      <c r="B8" s="24" t="n">
        <v>1</v>
      </c>
    </row>
    <row r="9" ht="26" customHeight="1">
      <c r="A9" s="16" t="inlineStr">
        <is>
          <t>Facility</t>
        </is>
      </c>
      <c r="B9" s="24" t="n">
        <v>2</v>
      </c>
    </row>
    <row r="10" ht="26" customHeight="1">
      <c r="A10" s="16" t="inlineStr">
        <is>
          <t>Other</t>
        </is>
      </c>
      <c r="B10" s="24" t="n">
        <v>4</v>
      </c>
    </row>
    <row r="11"/>
    <row r="12"/>
    <row r="13">
      <c r="A13" s="2" t="inlineStr">
        <is>
          <t>Target dates use calendar days from the received date.</t>
        </is>
      </c>
    </row>
    <row r="14">
      <c r="A14" s="2" t="inlineStr">
        <is>
          <t>Edit existing list entries so the prepared validation ranges remain intact.</t>
        </is>
      </c>
    </row>
    <row r="15">
      <c r="A15" s="2" t="inlineStr">
        <is>
          <t>Timing and data checks prompt a person to review the record.</t>
        </is>
      </c>
    </row>
  </sheetData>
  <autoFilter ref="A3:B10"/>
  <mergeCells count="1">
    <mergeCell ref="A1:K1"/>
  </mergeCells>
  <conditionalFormatting sqref="A4:A10">
    <cfRule type="expression" priority="1" dxfId="0">
      <formula>AND(A4&lt;&gt;"",COUNTIF($A$4:$A$10,A4)&gt;1)</formula>
    </cfRule>
  </conditionalFormatting>
  <conditionalFormatting sqref="D4:D7">
    <cfRule type="expression" priority="2" dxfId="0">
      <formula>AND(D4&lt;&gt;"",COUNTIF($D$4:$D$7,D4)&gt;1)</formula>
    </cfRule>
  </conditionalFormatting>
  <dataValidations count="2">
    <dataValidation sqref="B4:B10" showDropDown="0" showInputMessage="1" showErrorMessage="1" allowBlank="0" errorTitle="Target outside the limit" error="Enter a whole number within the editable maximum target." promptTitle="Target calendar days" prompt="Enter a whole number from zero through the editable maximum." type="whole" operator="between">
      <formula1>0</formula1>
      <formula2>$K$5</formula2>
    </dataValidation>
    <dataValidation sqref="K5" showDropDown="0" showInputMessage="1" showErrorMessage="1" allowBlank="0" errorTitle="Invalid planning limit" error="Enter a whole number from 1 through 365." promptTitle="Maximum target days" prompt="Enter a whole-number planning limit from 1 through 365." type="whole" operator="between">
      <formula1>1</formula1>
      <formula2>365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2026-09-09T14:38:19Z</dcterms:created>
  <dcterms:modified xmlns:dcterms="http://purl.org/dc/terms/" xmlns:xsi="http://www.w3.org/2001/XMLSchema-instance" xsi:type="dcterms:W3CDTF">2026-09-09T14:38:20+00:00Z</dcterms:modified>
</cp:coreProperties>
</file>