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ookings" sheetId="2" state="visible" r:id="rId2"/>
    <sheet xmlns:r="http://schemas.openxmlformats.org/officeDocument/2006/relationships" name="Capacity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0" hidden="1">'Summary'!$A$7:$H$59</definedName>
    <definedName name="_xlnm._FilterDatabase" localSheetId="1" hidden="1">'Bookings'!$A$3:$L$103</definedName>
    <definedName name="_xlnm._FilterDatabase" localSheetId="2" hidden="1">'Capacity'!$A$3:$J$103</definedName>
    <definedName name="_xlnm._FilterDatabase" localSheetId="3" hidden="1">'Assumptions'!$A$4:$C$9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"/>
    <numFmt numFmtId="165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E6D69"/>
      <sz val="9"/>
    </font>
    <font>
      <name val="Calibri"/>
      <b val="1"/>
      <color rgb="00243333"/>
      <sz val="10"/>
    </font>
    <font>
      <name val="Calibri"/>
      <b val="1"/>
      <color rgb="00FFFFFF"/>
      <sz val="11"/>
    </font>
    <font>
      <name val="Calibri"/>
      <color rgb="00243333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A93F2C"/>
      </patternFill>
    </fill>
    <fill>
      <patternFill patternType="solid">
        <fgColor rgb="00FFF0C7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top" wrapText="1"/>
    </xf>
    <xf numFmtId="165" fontId="5" fillId="3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right" vertical="center"/>
    </xf>
    <xf numFmtId="9" fontId="5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9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left" vertical="top" wrapText="1"/>
    </xf>
    <xf numFmtId="9" fontId="5" fillId="6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b val="1"/>
        <color rgb="00243333"/>
        <sz val="10"/>
      </font>
      <fill>
        <patternFill patternType="solid">
          <fgColor rgb="00FFF0C7"/>
        </patternFill>
      </fill>
    </dxf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2B2B"/>
    <outlinePr summaryBelow="1" summaryRight="1"/>
    <pageSetUpPr fitToPage="1"/>
  </sheetPr>
  <dimension ref="A1:H5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9" customWidth="1" min="3" max="3"/>
    <col width="17" customWidth="1" min="4" max="4"/>
    <col width="20" customWidth="1" min="5" max="5"/>
    <col width="21" customWidth="1" min="6" max="6"/>
    <col width="19" customWidth="1" min="7" max="7"/>
    <col width="19" customWidth="1" min="8" max="8"/>
  </cols>
  <sheetData>
    <row r="1" ht="28" customHeight="1">
      <c r="A1" s="1" t="inlineStr">
        <is>
          <t>Pet Service Capacity Planner</t>
        </is>
      </c>
    </row>
    <row r="2" ht="22" customHeight="1">
      <c r="A2" s="2" t="inlineStr">
        <is>
          <t>Weekly indicators are calculated from the fictional booking forecasts and entered capacity records.</t>
        </is>
      </c>
    </row>
    <row r="3">
      <c r="A3" s="3" t="inlineStr">
        <is>
          <t>Booking records</t>
        </is>
      </c>
      <c r="B3" s="4">
        <f>COUNTIFS(Bookings!$B$4:$B$103,"&gt;="&amp;Assumptions!$B$5,Bookings!$B$4:$B$103,"&lt;="&amp;Assumptions!$B$5+7*(Assumptions!$B$6-1),Bookings!$A$4:$A$103,"&lt;&gt;")</f>
        <v/>
      </c>
      <c r="C3" s="3" t="inlineStr">
        <is>
          <t>Counted staff hours</t>
        </is>
      </c>
      <c r="D3" s="5">
        <f>IFERROR(SUM($B$8:$B$59),0)</f>
        <v/>
      </c>
      <c r="E3" s="3" t="inlineStr">
        <is>
          <t>Counted facility hours</t>
        </is>
      </c>
      <c r="F3" s="5">
        <f>IFERROR(SUM($E$8:$E$59),0)</f>
        <v/>
      </c>
    </row>
    <row r="4">
      <c r="A4" s="3" t="inlineStr">
        <is>
          <t>Weeks at or over staff capacity</t>
        </is>
      </c>
      <c r="B4" s="4">
        <f>COUNTIF($D$8:$D$59,"&gt;=1")</f>
        <v/>
      </c>
      <c r="C4" s="3" t="inlineStr">
        <is>
          <t>Weeks at or over facility capacity</t>
        </is>
      </c>
      <c r="D4" s="4">
        <f>COUNTIF($G$8:$G$59,"&gt;=1")</f>
        <v/>
      </c>
      <c r="E4" s="3" t="inlineStr">
        <is>
          <t>Missing capacity fields</t>
        </is>
      </c>
      <c r="F4" s="4">
        <f>COUNTIFS($A$8:$A$59,"&lt;&gt;",$C$8:$C$59,"")+COUNTIFS($A$8:$A$59,"&lt;&gt;",$F$8:$F$59,"")</f>
        <v/>
      </c>
    </row>
    <row r="5"/>
    <row r="6">
      <c r="A6" s="6" t="inlineStr">
        <is>
          <t>Weekly capacity comparison</t>
        </is>
      </c>
      <c r="B6" s="6" t="n"/>
      <c r="C6" s="6" t="n"/>
      <c r="D6" s="6" t="n"/>
      <c r="E6" s="6" t="n"/>
      <c r="F6" s="6" t="n"/>
      <c r="G6" s="6" t="n"/>
      <c r="H6" s="6" t="n"/>
    </row>
    <row r="7">
      <c r="A7" s="7" t="inlineStr">
        <is>
          <t>Week Start</t>
        </is>
      </c>
      <c r="B7" s="7" t="inlineStr">
        <is>
          <t>Booked Staff Hours</t>
        </is>
      </c>
      <c r="C7" s="7" t="inlineStr">
        <is>
          <t>Available Staff Hours</t>
        </is>
      </c>
      <c r="D7" s="7" t="inlineStr">
        <is>
          <t>Staff Utilization</t>
        </is>
      </c>
      <c r="E7" s="7" t="inlineStr">
        <is>
          <t>Booked Facility Hours</t>
        </is>
      </c>
      <c r="F7" s="7" t="inlineStr">
        <is>
          <t>Available Facility Hours</t>
        </is>
      </c>
      <c r="G7" s="7" t="inlineStr">
        <is>
          <t>Facility Utilization</t>
        </is>
      </c>
      <c r="H7" s="7" t="inlineStr">
        <is>
          <t>Capacity Check</t>
        </is>
      </c>
    </row>
    <row r="8">
      <c r="A8" s="8">
        <f>IF(1&lt;=Assumptions!$B$6,Assumptions!$B$5+7*(1-1),"")</f>
        <v/>
      </c>
      <c r="B8" s="9">
        <f>IF($A8="","",SUMIFS(Bookings!$J$4:$J$103,Bookings!$B$4:$B$103,$A8))</f>
        <v/>
      </c>
      <c r="C8" s="9">
        <f>IF($A8="","",IFERROR(VLOOKUP($A8,Capacity!$A$4:$C$103,2,FALSE),""))</f>
        <v/>
      </c>
      <c r="D8" s="10">
        <f>IF(OR($A8="",$C8=""),"",IF($C8=0,IF($B8&gt;0,1,0),IFERROR($B8/$C8,"")))</f>
        <v/>
      </c>
      <c r="E8" s="9">
        <f>IF($A8="","",SUMIFS(Bookings!$K$4:$K$103,Bookings!$B$4:$B$103,$A8))</f>
        <v/>
      </c>
      <c r="F8" s="9">
        <f>IF($A8="","",IFERROR(VLOOKUP($A8,Capacity!$A$4:$C$103,3,FALSE),""))</f>
        <v/>
      </c>
      <c r="G8" s="10">
        <f>IF(OR($A8="",$F8=""),"",IF($F8=0,IF($E8&gt;0,1,0),IFERROR($E8/$F8,"")))</f>
        <v/>
      </c>
      <c r="H8" s="11">
        <f>IF($A8="","",IF(OR($C8="",$F8=""),"Enter capacity",IF(OR(AND($B8&gt;0,$B8&gt;=$C8),AND($E8&gt;0,$E8&gt;=$F8)),"Over capacity",IF(OR($D8&gt;=Assumptions!$B$7,$G8&gt;=Assumptions!$B$7),"Check near limit","Within capacity"))))</f>
        <v/>
      </c>
    </row>
    <row r="9">
      <c r="A9" s="12">
        <f>IF(2&lt;=Assumptions!$B$6,Assumptions!$B$5+7*(2-1),"")</f>
        <v/>
      </c>
      <c r="B9" s="13">
        <f>IF($A9="","",SUMIFS(Bookings!$J$4:$J$103,Bookings!$B$4:$B$103,$A9))</f>
        <v/>
      </c>
      <c r="C9" s="13">
        <f>IF($A9="","",IFERROR(VLOOKUP($A9,Capacity!$A$4:$C$103,2,FALSE),""))</f>
        <v/>
      </c>
      <c r="D9" s="14">
        <f>IF(OR($A9="",$C9=""),"",IF($C9=0,IF($B9&gt;0,1,0),IFERROR($B9/$C9,"")))</f>
        <v/>
      </c>
      <c r="E9" s="13">
        <f>IF($A9="","",SUMIFS(Bookings!$K$4:$K$103,Bookings!$B$4:$B$103,$A9))</f>
        <v/>
      </c>
      <c r="F9" s="13">
        <f>IF($A9="","",IFERROR(VLOOKUP($A9,Capacity!$A$4:$C$103,3,FALSE),""))</f>
        <v/>
      </c>
      <c r="G9" s="14">
        <f>IF(OR($A9="",$F9=""),"",IF($F9=0,IF($E9&gt;0,1,0),IFERROR($E9/$F9,"")))</f>
        <v/>
      </c>
      <c r="H9" s="15">
        <f>IF($A9="","",IF(OR($C9="",$F9=""),"Enter capacity",IF(OR(AND($B9&gt;0,$B9&gt;=$C9),AND($E9&gt;0,$E9&gt;=$F9)),"Over capacity",IF(OR($D9&gt;=Assumptions!$B$7,$G9&gt;=Assumptions!$B$7),"Check near limit","Within capacity"))))</f>
        <v/>
      </c>
    </row>
    <row r="10">
      <c r="A10" s="8">
        <f>IF(3&lt;=Assumptions!$B$6,Assumptions!$B$5+7*(3-1),"")</f>
        <v/>
      </c>
      <c r="B10" s="9">
        <f>IF($A10="","",SUMIFS(Bookings!$J$4:$J$103,Bookings!$B$4:$B$103,$A10))</f>
        <v/>
      </c>
      <c r="C10" s="9">
        <f>IF($A10="","",IFERROR(VLOOKUP($A10,Capacity!$A$4:$C$103,2,FALSE),""))</f>
        <v/>
      </c>
      <c r="D10" s="10">
        <f>IF(OR($A10="",$C10=""),"",IF($C10=0,IF($B10&gt;0,1,0),IFERROR($B10/$C10,"")))</f>
        <v/>
      </c>
      <c r="E10" s="9">
        <f>IF($A10="","",SUMIFS(Bookings!$K$4:$K$103,Bookings!$B$4:$B$103,$A10))</f>
        <v/>
      </c>
      <c r="F10" s="9">
        <f>IF($A10="","",IFERROR(VLOOKUP($A10,Capacity!$A$4:$C$103,3,FALSE),""))</f>
        <v/>
      </c>
      <c r="G10" s="10">
        <f>IF(OR($A10="",$F10=""),"",IF($F10=0,IF($E10&gt;0,1,0),IFERROR($E10/$F10,"")))</f>
        <v/>
      </c>
      <c r="H10" s="11">
        <f>IF($A10="","",IF(OR($C10="",$F10=""),"Enter capacity",IF(OR(AND($B10&gt;0,$B10&gt;=$C10),AND($E10&gt;0,$E10&gt;=$F10)),"Over capacity",IF(OR($D10&gt;=Assumptions!$B$7,$G10&gt;=Assumptions!$B$7),"Check near limit","Within capacity"))))</f>
        <v/>
      </c>
    </row>
    <row r="11">
      <c r="A11" s="12">
        <f>IF(4&lt;=Assumptions!$B$6,Assumptions!$B$5+7*(4-1),"")</f>
        <v/>
      </c>
      <c r="B11" s="13">
        <f>IF($A11="","",SUMIFS(Bookings!$J$4:$J$103,Bookings!$B$4:$B$103,$A11))</f>
        <v/>
      </c>
      <c r="C11" s="13">
        <f>IF($A11="","",IFERROR(VLOOKUP($A11,Capacity!$A$4:$C$103,2,FALSE),""))</f>
        <v/>
      </c>
      <c r="D11" s="14">
        <f>IF(OR($A11="",$C11=""),"",IF($C11=0,IF($B11&gt;0,1,0),IFERROR($B11/$C11,"")))</f>
        <v/>
      </c>
      <c r="E11" s="13">
        <f>IF($A11="","",SUMIFS(Bookings!$K$4:$K$103,Bookings!$B$4:$B$103,$A11))</f>
        <v/>
      </c>
      <c r="F11" s="13">
        <f>IF($A11="","",IFERROR(VLOOKUP($A11,Capacity!$A$4:$C$103,3,FALSE),""))</f>
        <v/>
      </c>
      <c r="G11" s="14">
        <f>IF(OR($A11="",$F11=""),"",IF($F11=0,IF($E11&gt;0,1,0),IFERROR($E11/$F11,"")))</f>
        <v/>
      </c>
      <c r="H11" s="15">
        <f>IF($A11="","",IF(OR($C11="",$F11=""),"Enter capacity",IF(OR(AND($B11&gt;0,$B11&gt;=$C11),AND($E11&gt;0,$E11&gt;=$F11)),"Over capacity",IF(OR($D11&gt;=Assumptions!$B$7,$G11&gt;=Assumptions!$B$7),"Check near limit","Within capacity"))))</f>
        <v/>
      </c>
    </row>
    <row r="12">
      <c r="A12" s="8">
        <f>IF(5&lt;=Assumptions!$B$6,Assumptions!$B$5+7*(5-1),"")</f>
        <v/>
      </c>
      <c r="B12" s="9">
        <f>IF($A12="","",SUMIFS(Bookings!$J$4:$J$103,Bookings!$B$4:$B$103,$A12))</f>
        <v/>
      </c>
      <c r="C12" s="9">
        <f>IF($A12="","",IFERROR(VLOOKUP($A12,Capacity!$A$4:$C$103,2,FALSE),""))</f>
        <v/>
      </c>
      <c r="D12" s="10">
        <f>IF(OR($A12="",$C12=""),"",IF($C12=0,IF($B12&gt;0,1,0),IFERROR($B12/$C12,"")))</f>
        <v/>
      </c>
      <c r="E12" s="9">
        <f>IF($A12="","",SUMIFS(Bookings!$K$4:$K$103,Bookings!$B$4:$B$103,$A12))</f>
        <v/>
      </c>
      <c r="F12" s="9">
        <f>IF($A12="","",IFERROR(VLOOKUP($A12,Capacity!$A$4:$C$103,3,FALSE),""))</f>
        <v/>
      </c>
      <c r="G12" s="10">
        <f>IF(OR($A12="",$F12=""),"",IF($F12=0,IF($E12&gt;0,1,0),IFERROR($E12/$F12,"")))</f>
        <v/>
      </c>
      <c r="H12" s="11">
        <f>IF($A12="","",IF(OR($C12="",$F12=""),"Enter capacity",IF(OR(AND($B12&gt;0,$B12&gt;=$C12),AND($E12&gt;0,$E12&gt;=$F12)),"Over capacity",IF(OR($D12&gt;=Assumptions!$B$7,$G12&gt;=Assumptions!$B$7),"Check near limit","Within capacity"))))</f>
        <v/>
      </c>
    </row>
    <row r="13">
      <c r="A13" s="12">
        <f>IF(6&lt;=Assumptions!$B$6,Assumptions!$B$5+7*(6-1),"")</f>
        <v/>
      </c>
      <c r="B13" s="13">
        <f>IF($A13="","",SUMIFS(Bookings!$J$4:$J$103,Bookings!$B$4:$B$103,$A13))</f>
        <v/>
      </c>
      <c r="C13" s="13">
        <f>IF($A13="","",IFERROR(VLOOKUP($A13,Capacity!$A$4:$C$103,2,FALSE),""))</f>
        <v/>
      </c>
      <c r="D13" s="14">
        <f>IF(OR($A13="",$C13=""),"",IF($C13=0,IF($B13&gt;0,1,0),IFERROR($B13/$C13,"")))</f>
        <v/>
      </c>
      <c r="E13" s="13">
        <f>IF($A13="","",SUMIFS(Bookings!$K$4:$K$103,Bookings!$B$4:$B$103,$A13))</f>
        <v/>
      </c>
      <c r="F13" s="13">
        <f>IF($A13="","",IFERROR(VLOOKUP($A13,Capacity!$A$4:$C$103,3,FALSE),""))</f>
        <v/>
      </c>
      <c r="G13" s="14">
        <f>IF(OR($A13="",$F13=""),"",IF($F13=0,IF($E13&gt;0,1,0),IFERROR($E13/$F13,"")))</f>
        <v/>
      </c>
      <c r="H13" s="15">
        <f>IF($A13="","",IF(OR($C13="",$F13=""),"Enter capacity",IF(OR(AND($B13&gt;0,$B13&gt;=$C13),AND($E13&gt;0,$E13&gt;=$F13)),"Over capacity",IF(OR($D13&gt;=Assumptions!$B$7,$G13&gt;=Assumptions!$B$7),"Check near limit","Within capacity"))))</f>
        <v/>
      </c>
    </row>
    <row r="14">
      <c r="A14" s="8">
        <f>IF(7&lt;=Assumptions!$B$6,Assumptions!$B$5+7*(7-1),"")</f>
        <v/>
      </c>
      <c r="B14" s="9">
        <f>IF($A14="","",SUMIFS(Bookings!$J$4:$J$103,Bookings!$B$4:$B$103,$A14))</f>
        <v/>
      </c>
      <c r="C14" s="9">
        <f>IF($A14="","",IFERROR(VLOOKUP($A14,Capacity!$A$4:$C$103,2,FALSE),""))</f>
        <v/>
      </c>
      <c r="D14" s="10">
        <f>IF(OR($A14="",$C14=""),"",IF($C14=0,IF($B14&gt;0,1,0),IFERROR($B14/$C14,"")))</f>
        <v/>
      </c>
      <c r="E14" s="9">
        <f>IF($A14="","",SUMIFS(Bookings!$K$4:$K$103,Bookings!$B$4:$B$103,$A14))</f>
        <v/>
      </c>
      <c r="F14" s="9">
        <f>IF($A14="","",IFERROR(VLOOKUP($A14,Capacity!$A$4:$C$103,3,FALSE),""))</f>
        <v/>
      </c>
      <c r="G14" s="10">
        <f>IF(OR($A14="",$F14=""),"",IF($F14=0,IF($E14&gt;0,1,0),IFERROR($E14/$F14,"")))</f>
        <v/>
      </c>
      <c r="H14" s="11">
        <f>IF($A14="","",IF(OR($C14="",$F14=""),"Enter capacity",IF(OR(AND($B14&gt;0,$B14&gt;=$C14),AND($E14&gt;0,$E14&gt;=$F14)),"Over capacity",IF(OR($D14&gt;=Assumptions!$B$7,$G14&gt;=Assumptions!$B$7),"Check near limit","Within capacity"))))</f>
        <v/>
      </c>
    </row>
    <row r="15">
      <c r="A15" s="12">
        <f>IF(8&lt;=Assumptions!$B$6,Assumptions!$B$5+7*(8-1),"")</f>
        <v/>
      </c>
      <c r="B15" s="13">
        <f>IF($A15="","",SUMIFS(Bookings!$J$4:$J$103,Bookings!$B$4:$B$103,$A15))</f>
        <v/>
      </c>
      <c r="C15" s="13">
        <f>IF($A15="","",IFERROR(VLOOKUP($A15,Capacity!$A$4:$C$103,2,FALSE),""))</f>
        <v/>
      </c>
      <c r="D15" s="14">
        <f>IF(OR($A15="",$C15=""),"",IF($C15=0,IF($B15&gt;0,1,0),IFERROR($B15/$C15,"")))</f>
        <v/>
      </c>
      <c r="E15" s="13">
        <f>IF($A15="","",SUMIFS(Bookings!$K$4:$K$103,Bookings!$B$4:$B$103,$A15))</f>
        <v/>
      </c>
      <c r="F15" s="13">
        <f>IF($A15="","",IFERROR(VLOOKUP($A15,Capacity!$A$4:$C$103,3,FALSE),""))</f>
        <v/>
      </c>
      <c r="G15" s="14">
        <f>IF(OR($A15="",$F15=""),"",IF($F15=0,IF($E15&gt;0,1,0),IFERROR($E15/$F15,"")))</f>
        <v/>
      </c>
      <c r="H15" s="15">
        <f>IF($A15="","",IF(OR($C15="",$F15=""),"Enter capacity",IF(OR(AND($B15&gt;0,$B15&gt;=$C15),AND($E15&gt;0,$E15&gt;=$F15)),"Over capacity",IF(OR($D15&gt;=Assumptions!$B$7,$G15&gt;=Assumptions!$B$7),"Check near limit","Within capacity"))))</f>
        <v/>
      </c>
    </row>
    <row r="16">
      <c r="A16" s="8">
        <f>IF(9&lt;=Assumptions!$B$6,Assumptions!$B$5+7*(9-1),"")</f>
        <v/>
      </c>
      <c r="B16" s="9">
        <f>IF($A16="","",SUMIFS(Bookings!$J$4:$J$103,Bookings!$B$4:$B$103,$A16))</f>
        <v/>
      </c>
      <c r="C16" s="9">
        <f>IF($A16="","",IFERROR(VLOOKUP($A16,Capacity!$A$4:$C$103,2,FALSE),""))</f>
        <v/>
      </c>
      <c r="D16" s="10">
        <f>IF(OR($A16="",$C16=""),"",IF($C16=0,IF($B16&gt;0,1,0),IFERROR($B16/$C16,"")))</f>
        <v/>
      </c>
      <c r="E16" s="9">
        <f>IF($A16="","",SUMIFS(Bookings!$K$4:$K$103,Bookings!$B$4:$B$103,$A16))</f>
        <v/>
      </c>
      <c r="F16" s="9">
        <f>IF($A16="","",IFERROR(VLOOKUP($A16,Capacity!$A$4:$C$103,3,FALSE),""))</f>
        <v/>
      </c>
      <c r="G16" s="10">
        <f>IF(OR($A16="",$F16=""),"",IF($F16=0,IF($E16&gt;0,1,0),IFERROR($E16/$F16,"")))</f>
        <v/>
      </c>
      <c r="H16" s="11">
        <f>IF($A16="","",IF(OR($C16="",$F16=""),"Enter capacity",IF(OR(AND($B16&gt;0,$B16&gt;=$C16),AND($E16&gt;0,$E16&gt;=$F16)),"Over capacity",IF(OR($D16&gt;=Assumptions!$B$7,$G16&gt;=Assumptions!$B$7),"Check near limit","Within capacity"))))</f>
        <v/>
      </c>
    </row>
    <row r="17">
      <c r="A17" s="12">
        <f>IF(10&lt;=Assumptions!$B$6,Assumptions!$B$5+7*(10-1),"")</f>
        <v/>
      </c>
      <c r="B17" s="13">
        <f>IF($A17="","",SUMIFS(Bookings!$J$4:$J$103,Bookings!$B$4:$B$103,$A17))</f>
        <v/>
      </c>
      <c r="C17" s="13">
        <f>IF($A17="","",IFERROR(VLOOKUP($A17,Capacity!$A$4:$C$103,2,FALSE),""))</f>
        <v/>
      </c>
      <c r="D17" s="14">
        <f>IF(OR($A17="",$C17=""),"",IF($C17=0,IF($B17&gt;0,1,0),IFERROR($B17/$C17,"")))</f>
        <v/>
      </c>
      <c r="E17" s="13">
        <f>IF($A17="","",SUMIFS(Bookings!$K$4:$K$103,Bookings!$B$4:$B$103,$A17))</f>
        <v/>
      </c>
      <c r="F17" s="13">
        <f>IF($A17="","",IFERROR(VLOOKUP($A17,Capacity!$A$4:$C$103,3,FALSE),""))</f>
        <v/>
      </c>
      <c r="G17" s="14">
        <f>IF(OR($A17="",$F17=""),"",IF($F17=0,IF($E17&gt;0,1,0),IFERROR($E17/$F17,"")))</f>
        <v/>
      </c>
      <c r="H17" s="15">
        <f>IF($A17="","",IF(OR($C17="",$F17=""),"Enter capacity",IF(OR(AND($B17&gt;0,$B17&gt;=$C17),AND($E17&gt;0,$E17&gt;=$F17)),"Over capacity",IF(OR($D17&gt;=Assumptions!$B$7,$G17&gt;=Assumptions!$B$7),"Check near limit","Within capacity"))))</f>
        <v/>
      </c>
    </row>
    <row r="18">
      <c r="A18" s="8">
        <f>IF(11&lt;=Assumptions!$B$6,Assumptions!$B$5+7*(11-1),"")</f>
        <v/>
      </c>
      <c r="B18" s="9">
        <f>IF($A18="","",SUMIFS(Bookings!$J$4:$J$103,Bookings!$B$4:$B$103,$A18))</f>
        <v/>
      </c>
      <c r="C18" s="9">
        <f>IF($A18="","",IFERROR(VLOOKUP($A18,Capacity!$A$4:$C$103,2,FALSE),""))</f>
        <v/>
      </c>
      <c r="D18" s="10">
        <f>IF(OR($A18="",$C18=""),"",IF($C18=0,IF($B18&gt;0,1,0),IFERROR($B18/$C18,"")))</f>
        <v/>
      </c>
      <c r="E18" s="9">
        <f>IF($A18="","",SUMIFS(Bookings!$K$4:$K$103,Bookings!$B$4:$B$103,$A18))</f>
        <v/>
      </c>
      <c r="F18" s="9">
        <f>IF($A18="","",IFERROR(VLOOKUP($A18,Capacity!$A$4:$C$103,3,FALSE),""))</f>
        <v/>
      </c>
      <c r="G18" s="10">
        <f>IF(OR($A18="",$F18=""),"",IF($F18=0,IF($E18&gt;0,1,0),IFERROR($E18/$F18,"")))</f>
        <v/>
      </c>
      <c r="H18" s="11">
        <f>IF($A18="","",IF(OR($C18="",$F18=""),"Enter capacity",IF(OR(AND($B18&gt;0,$B18&gt;=$C18),AND($E18&gt;0,$E18&gt;=$F18)),"Over capacity",IF(OR($D18&gt;=Assumptions!$B$7,$G18&gt;=Assumptions!$B$7),"Check near limit","Within capacity"))))</f>
        <v/>
      </c>
    </row>
    <row r="19">
      <c r="A19" s="12">
        <f>IF(12&lt;=Assumptions!$B$6,Assumptions!$B$5+7*(12-1),"")</f>
        <v/>
      </c>
      <c r="B19" s="13">
        <f>IF($A19="","",SUMIFS(Bookings!$J$4:$J$103,Bookings!$B$4:$B$103,$A19))</f>
        <v/>
      </c>
      <c r="C19" s="13">
        <f>IF($A19="","",IFERROR(VLOOKUP($A19,Capacity!$A$4:$C$103,2,FALSE),""))</f>
        <v/>
      </c>
      <c r="D19" s="14">
        <f>IF(OR($A19="",$C19=""),"",IF($C19=0,IF($B19&gt;0,1,0),IFERROR($B19/$C19,"")))</f>
        <v/>
      </c>
      <c r="E19" s="13">
        <f>IF($A19="","",SUMIFS(Bookings!$K$4:$K$103,Bookings!$B$4:$B$103,$A19))</f>
        <v/>
      </c>
      <c r="F19" s="13">
        <f>IF($A19="","",IFERROR(VLOOKUP($A19,Capacity!$A$4:$C$103,3,FALSE),""))</f>
        <v/>
      </c>
      <c r="G19" s="14">
        <f>IF(OR($A19="",$F19=""),"",IF($F19=0,IF($E19&gt;0,1,0),IFERROR($E19/$F19,"")))</f>
        <v/>
      </c>
      <c r="H19" s="15">
        <f>IF($A19="","",IF(OR($C19="",$F19=""),"Enter capacity",IF(OR(AND($B19&gt;0,$B19&gt;=$C19),AND($E19&gt;0,$E19&gt;=$F19)),"Over capacity",IF(OR($D19&gt;=Assumptions!$B$7,$G19&gt;=Assumptions!$B$7),"Check near limit","Within capacity"))))</f>
        <v/>
      </c>
    </row>
    <row r="20">
      <c r="A20" s="8">
        <f>IF(13&lt;=Assumptions!$B$6,Assumptions!$B$5+7*(13-1),"")</f>
        <v/>
      </c>
      <c r="B20" s="9">
        <f>IF($A20="","",SUMIFS(Bookings!$J$4:$J$103,Bookings!$B$4:$B$103,$A20))</f>
        <v/>
      </c>
      <c r="C20" s="9">
        <f>IF($A20="","",IFERROR(VLOOKUP($A20,Capacity!$A$4:$C$103,2,FALSE),""))</f>
        <v/>
      </c>
      <c r="D20" s="10">
        <f>IF(OR($A20="",$C20=""),"",IF($C20=0,IF($B20&gt;0,1,0),IFERROR($B20/$C20,"")))</f>
        <v/>
      </c>
      <c r="E20" s="9">
        <f>IF($A20="","",SUMIFS(Bookings!$K$4:$K$103,Bookings!$B$4:$B$103,$A20))</f>
        <v/>
      </c>
      <c r="F20" s="9">
        <f>IF($A20="","",IFERROR(VLOOKUP($A20,Capacity!$A$4:$C$103,3,FALSE),""))</f>
        <v/>
      </c>
      <c r="G20" s="10">
        <f>IF(OR($A20="",$F20=""),"",IF($F20=0,IF($E20&gt;0,1,0),IFERROR($E20/$F20,"")))</f>
        <v/>
      </c>
      <c r="H20" s="11">
        <f>IF($A20="","",IF(OR($C20="",$F20=""),"Enter capacity",IF(OR(AND($B20&gt;0,$B20&gt;=$C20),AND($E20&gt;0,$E20&gt;=$F20)),"Over capacity",IF(OR($D20&gt;=Assumptions!$B$7,$G20&gt;=Assumptions!$B$7),"Check near limit","Within capacity"))))</f>
        <v/>
      </c>
    </row>
    <row r="21">
      <c r="A21" s="12">
        <f>IF(14&lt;=Assumptions!$B$6,Assumptions!$B$5+7*(14-1),"")</f>
        <v/>
      </c>
      <c r="B21" s="13">
        <f>IF($A21="","",SUMIFS(Bookings!$J$4:$J$103,Bookings!$B$4:$B$103,$A21))</f>
        <v/>
      </c>
      <c r="C21" s="13">
        <f>IF($A21="","",IFERROR(VLOOKUP($A21,Capacity!$A$4:$C$103,2,FALSE),""))</f>
        <v/>
      </c>
      <c r="D21" s="14">
        <f>IF(OR($A21="",$C21=""),"",IF($C21=0,IF($B21&gt;0,1,0),IFERROR($B21/$C21,"")))</f>
        <v/>
      </c>
      <c r="E21" s="13">
        <f>IF($A21="","",SUMIFS(Bookings!$K$4:$K$103,Bookings!$B$4:$B$103,$A21))</f>
        <v/>
      </c>
      <c r="F21" s="13">
        <f>IF($A21="","",IFERROR(VLOOKUP($A21,Capacity!$A$4:$C$103,3,FALSE),""))</f>
        <v/>
      </c>
      <c r="G21" s="14">
        <f>IF(OR($A21="",$F21=""),"",IF($F21=0,IF($E21&gt;0,1,0),IFERROR($E21/$F21,"")))</f>
        <v/>
      </c>
      <c r="H21" s="15">
        <f>IF($A21="","",IF(OR($C21="",$F21=""),"Enter capacity",IF(OR(AND($B21&gt;0,$B21&gt;=$C21),AND($E21&gt;0,$E21&gt;=$F21)),"Over capacity",IF(OR($D21&gt;=Assumptions!$B$7,$G21&gt;=Assumptions!$B$7),"Check near limit","Within capacity"))))</f>
        <v/>
      </c>
    </row>
    <row r="22">
      <c r="A22" s="8">
        <f>IF(15&lt;=Assumptions!$B$6,Assumptions!$B$5+7*(15-1),"")</f>
        <v/>
      </c>
      <c r="B22" s="9">
        <f>IF($A22="","",SUMIFS(Bookings!$J$4:$J$103,Bookings!$B$4:$B$103,$A22))</f>
        <v/>
      </c>
      <c r="C22" s="9">
        <f>IF($A22="","",IFERROR(VLOOKUP($A22,Capacity!$A$4:$C$103,2,FALSE),""))</f>
        <v/>
      </c>
      <c r="D22" s="10">
        <f>IF(OR($A22="",$C22=""),"",IF($C22=0,IF($B22&gt;0,1,0),IFERROR($B22/$C22,"")))</f>
        <v/>
      </c>
      <c r="E22" s="9">
        <f>IF($A22="","",SUMIFS(Bookings!$K$4:$K$103,Bookings!$B$4:$B$103,$A22))</f>
        <v/>
      </c>
      <c r="F22" s="9">
        <f>IF($A22="","",IFERROR(VLOOKUP($A22,Capacity!$A$4:$C$103,3,FALSE),""))</f>
        <v/>
      </c>
      <c r="G22" s="10">
        <f>IF(OR($A22="",$F22=""),"",IF($F22=0,IF($E22&gt;0,1,0),IFERROR($E22/$F22,"")))</f>
        <v/>
      </c>
      <c r="H22" s="11">
        <f>IF($A22="","",IF(OR($C22="",$F22=""),"Enter capacity",IF(OR(AND($B22&gt;0,$B22&gt;=$C22),AND($E22&gt;0,$E22&gt;=$F22)),"Over capacity",IF(OR($D22&gt;=Assumptions!$B$7,$G22&gt;=Assumptions!$B$7),"Check near limit","Within capacity"))))</f>
        <v/>
      </c>
    </row>
    <row r="23">
      <c r="A23" s="12">
        <f>IF(16&lt;=Assumptions!$B$6,Assumptions!$B$5+7*(16-1),"")</f>
        <v/>
      </c>
      <c r="B23" s="13">
        <f>IF($A23="","",SUMIFS(Bookings!$J$4:$J$103,Bookings!$B$4:$B$103,$A23))</f>
        <v/>
      </c>
      <c r="C23" s="13">
        <f>IF($A23="","",IFERROR(VLOOKUP($A23,Capacity!$A$4:$C$103,2,FALSE),""))</f>
        <v/>
      </c>
      <c r="D23" s="14">
        <f>IF(OR($A23="",$C23=""),"",IF($C23=0,IF($B23&gt;0,1,0),IFERROR($B23/$C23,"")))</f>
        <v/>
      </c>
      <c r="E23" s="13">
        <f>IF($A23="","",SUMIFS(Bookings!$K$4:$K$103,Bookings!$B$4:$B$103,$A23))</f>
        <v/>
      </c>
      <c r="F23" s="13">
        <f>IF($A23="","",IFERROR(VLOOKUP($A23,Capacity!$A$4:$C$103,3,FALSE),""))</f>
        <v/>
      </c>
      <c r="G23" s="14">
        <f>IF(OR($A23="",$F23=""),"",IF($F23=0,IF($E23&gt;0,1,0),IFERROR($E23/$F23,"")))</f>
        <v/>
      </c>
      <c r="H23" s="15">
        <f>IF($A23="","",IF(OR($C23="",$F23=""),"Enter capacity",IF(OR(AND($B23&gt;0,$B23&gt;=$C23),AND($E23&gt;0,$E23&gt;=$F23)),"Over capacity",IF(OR($D23&gt;=Assumptions!$B$7,$G23&gt;=Assumptions!$B$7),"Check near limit","Within capacity"))))</f>
        <v/>
      </c>
    </row>
    <row r="24">
      <c r="A24" s="8">
        <f>IF(17&lt;=Assumptions!$B$6,Assumptions!$B$5+7*(17-1),"")</f>
        <v/>
      </c>
      <c r="B24" s="9">
        <f>IF($A24="","",SUMIFS(Bookings!$J$4:$J$103,Bookings!$B$4:$B$103,$A24))</f>
        <v/>
      </c>
      <c r="C24" s="9">
        <f>IF($A24="","",IFERROR(VLOOKUP($A24,Capacity!$A$4:$C$103,2,FALSE),""))</f>
        <v/>
      </c>
      <c r="D24" s="10">
        <f>IF(OR($A24="",$C24=""),"",IF($C24=0,IF($B24&gt;0,1,0),IFERROR($B24/$C24,"")))</f>
        <v/>
      </c>
      <c r="E24" s="9">
        <f>IF($A24="","",SUMIFS(Bookings!$K$4:$K$103,Bookings!$B$4:$B$103,$A24))</f>
        <v/>
      </c>
      <c r="F24" s="9">
        <f>IF($A24="","",IFERROR(VLOOKUP($A24,Capacity!$A$4:$C$103,3,FALSE),""))</f>
        <v/>
      </c>
      <c r="G24" s="10">
        <f>IF(OR($A24="",$F24=""),"",IF($F24=0,IF($E24&gt;0,1,0),IFERROR($E24/$F24,"")))</f>
        <v/>
      </c>
      <c r="H24" s="11">
        <f>IF($A24="","",IF(OR($C24="",$F24=""),"Enter capacity",IF(OR(AND($B24&gt;0,$B24&gt;=$C24),AND($E24&gt;0,$E24&gt;=$F24)),"Over capacity",IF(OR($D24&gt;=Assumptions!$B$7,$G24&gt;=Assumptions!$B$7),"Check near limit","Within capacity"))))</f>
        <v/>
      </c>
    </row>
    <row r="25">
      <c r="A25" s="12">
        <f>IF(18&lt;=Assumptions!$B$6,Assumptions!$B$5+7*(18-1),"")</f>
        <v/>
      </c>
      <c r="B25" s="13">
        <f>IF($A25="","",SUMIFS(Bookings!$J$4:$J$103,Bookings!$B$4:$B$103,$A25))</f>
        <v/>
      </c>
      <c r="C25" s="13">
        <f>IF($A25="","",IFERROR(VLOOKUP($A25,Capacity!$A$4:$C$103,2,FALSE),""))</f>
        <v/>
      </c>
      <c r="D25" s="14">
        <f>IF(OR($A25="",$C25=""),"",IF($C25=0,IF($B25&gt;0,1,0),IFERROR($B25/$C25,"")))</f>
        <v/>
      </c>
      <c r="E25" s="13">
        <f>IF($A25="","",SUMIFS(Bookings!$K$4:$K$103,Bookings!$B$4:$B$103,$A25))</f>
        <v/>
      </c>
      <c r="F25" s="13">
        <f>IF($A25="","",IFERROR(VLOOKUP($A25,Capacity!$A$4:$C$103,3,FALSE),""))</f>
        <v/>
      </c>
      <c r="G25" s="14">
        <f>IF(OR($A25="",$F25=""),"",IF($F25=0,IF($E25&gt;0,1,0),IFERROR($E25/$F25,"")))</f>
        <v/>
      </c>
      <c r="H25" s="15">
        <f>IF($A25="","",IF(OR($C25="",$F25=""),"Enter capacity",IF(OR(AND($B25&gt;0,$B25&gt;=$C25),AND($E25&gt;0,$E25&gt;=$F25)),"Over capacity",IF(OR($D25&gt;=Assumptions!$B$7,$G25&gt;=Assumptions!$B$7),"Check near limit","Within capacity"))))</f>
        <v/>
      </c>
    </row>
    <row r="26">
      <c r="A26" s="8">
        <f>IF(19&lt;=Assumptions!$B$6,Assumptions!$B$5+7*(19-1),"")</f>
        <v/>
      </c>
      <c r="B26" s="9">
        <f>IF($A26="","",SUMIFS(Bookings!$J$4:$J$103,Bookings!$B$4:$B$103,$A26))</f>
        <v/>
      </c>
      <c r="C26" s="9">
        <f>IF($A26="","",IFERROR(VLOOKUP($A26,Capacity!$A$4:$C$103,2,FALSE),""))</f>
        <v/>
      </c>
      <c r="D26" s="10">
        <f>IF(OR($A26="",$C26=""),"",IF($C26=0,IF($B26&gt;0,1,0),IFERROR($B26/$C26,"")))</f>
        <v/>
      </c>
      <c r="E26" s="9">
        <f>IF($A26="","",SUMIFS(Bookings!$K$4:$K$103,Bookings!$B$4:$B$103,$A26))</f>
        <v/>
      </c>
      <c r="F26" s="9">
        <f>IF($A26="","",IFERROR(VLOOKUP($A26,Capacity!$A$4:$C$103,3,FALSE),""))</f>
        <v/>
      </c>
      <c r="G26" s="10">
        <f>IF(OR($A26="",$F26=""),"",IF($F26=0,IF($E26&gt;0,1,0),IFERROR($E26/$F26,"")))</f>
        <v/>
      </c>
      <c r="H26" s="11">
        <f>IF($A26="","",IF(OR($C26="",$F26=""),"Enter capacity",IF(OR(AND($B26&gt;0,$B26&gt;=$C26),AND($E26&gt;0,$E26&gt;=$F26)),"Over capacity",IF(OR($D26&gt;=Assumptions!$B$7,$G26&gt;=Assumptions!$B$7),"Check near limit","Within capacity"))))</f>
        <v/>
      </c>
    </row>
    <row r="27">
      <c r="A27" s="12">
        <f>IF(20&lt;=Assumptions!$B$6,Assumptions!$B$5+7*(20-1),"")</f>
        <v/>
      </c>
      <c r="B27" s="13">
        <f>IF($A27="","",SUMIFS(Bookings!$J$4:$J$103,Bookings!$B$4:$B$103,$A27))</f>
        <v/>
      </c>
      <c r="C27" s="13">
        <f>IF($A27="","",IFERROR(VLOOKUP($A27,Capacity!$A$4:$C$103,2,FALSE),""))</f>
        <v/>
      </c>
      <c r="D27" s="14">
        <f>IF(OR($A27="",$C27=""),"",IF($C27=0,IF($B27&gt;0,1,0),IFERROR($B27/$C27,"")))</f>
        <v/>
      </c>
      <c r="E27" s="13">
        <f>IF($A27="","",SUMIFS(Bookings!$K$4:$K$103,Bookings!$B$4:$B$103,$A27))</f>
        <v/>
      </c>
      <c r="F27" s="13">
        <f>IF($A27="","",IFERROR(VLOOKUP($A27,Capacity!$A$4:$C$103,3,FALSE),""))</f>
        <v/>
      </c>
      <c r="G27" s="14">
        <f>IF(OR($A27="",$F27=""),"",IF($F27=0,IF($E27&gt;0,1,0),IFERROR($E27/$F27,"")))</f>
        <v/>
      </c>
      <c r="H27" s="15">
        <f>IF($A27="","",IF(OR($C27="",$F27=""),"Enter capacity",IF(OR(AND($B27&gt;0,$B27&gt;=$C27),AND($E27&gt;0,$E27&gt;=$F27)),"Over capacity",IF(OR($D27&gt;=Assumptions!$B$7,$G27&gt;=Assumptions!$B$7),"Check near limit","Within capacity"))))</f>
        <v/>
      </c>
    </row>
    <row r="28">
      <c r="A28" s="8">
        <f>IF(21&lt;=Assumptions!$B$6,Assumptions!$B$5+7*(21-1),"")</f>
        <v/>
      </c>
      <c r="B28" s="9">
        <f>IF($A28="","",SUMIFS(Bookings!$J$4:$J$103,Bookings!$B$4:$B$103,$A28))</f>
        <v/>
      </c>
      <c r="C28" s="9">
        <f>IF($A28="","",IFERROR(VLOOKUP($A28,Capacity!$A$4:$C$103,2,FALSE),""))</f>
        <v/>
      </c>
      <c r="D28" s="10">
        <f>IF(OR($A28="",$C28=""),"",IF($C28=0,IF($B28&gt;0,1,0),IFERROR($B28/$C28,"")))</f>
        <v/>
      </c>
      <c r="E28" s="9">
        <f>IF($A28="","",SUMIFS(Bookings!$K$4:$K$103,Bookings!$B$4:$B$103,$A28))</f>
        <v/>
      </c>
      <c r="F28" s="9">
        <f>IF($A28="","",IFERROR(VLOOKUP($A28,Capacity!$A$4:$C$103,3,FALSE),""))</f>
        <v/>
      </c>
      <c r="G28" s="10">
        <f>IF(OR($A28="",$F28=""),"",IF($F28=0,IF($E28&gt;0,1,0),IFERROR($E28/$F28,"")))</f>
        <v/>
      </c>
      <c r="H28" s="11">
        <f>IF($A28="","",IF(OR($C28="",$F28=""),"Enter capacity",IF(OR(AND($B28&gt;0,$B28&gt;=$C28),AND($E28&gt;0,$E28&gt;=$F28)),"Over capacity",IF(OR($D28&gt;=Assumptions!$B$7,$G28&gt;=Assumptions!$B$7),"Check near limit","Within capacity"))))</f>
        <v/>
      </c>
    </row>
    <row r="29">
      <c r="A29" s="12">
        <f>IF(22&lt;=Assumptions!$B$6,Assumptions!$B$5+7*(22-1),"")</f>
        <v/>
      </c>
      <c r="B29" s="13">
        <f>IF($A29="","",SUMIFS(Bookings!$J$4:$J$103,Bookings!$B$4:$B$103,$A29))</f>
        <v/>
      </c>
      <c r="C29" s="13">
        <f>IF($A29="","",IFERROR(VLOOKUP($A29,Capacity!$A$4:$C$103,2,FALSE),""))</f>
        <v/>
      </c>
      <c r="D29" s="14">
        <f>IF(OR($A29="",$C29=""),"",IF($C29=0,IF($B29&gt;0,1,0),IFERROR($B29/$C29,"")))</f>
        <v/>
      </c>
      <c r="E29" s="13">
        <f>IF($A29="","",SUMIFS(Bookings!$K$4:$K$103,Bookings!$B$4:$B$103,$A29))</f>
        <v/>
      </c>
      <c r="F29" s="13">
        <f>IF($A29="","",IFERROR(VLOOKUP($A29,Capacity!$A$4:$C$103,3,FALSE),""))</f>
        <v/>
      </c>
      <c r="G29" s="14">
        <f>IF(OR($A29="",$F29=""),"",IF($F29=0,IF($E29&gt;0,1,0),IFERROR($E29/$F29,"")))</f>
        <v/>
      </c>
      <c r="H29" s="15">
        <f>IF($A29="","",IF(OR($C29="",$F29=""),"Enter capacity",IF(OR(AND($B29&gt;0,$B29&gt;=$C29),AND($E29&gt;0,$E29&gt;=$F29)),"Over capacity",IF(OR($D29&gt;=Assumptions!$B$7,$G29&gt;=Assumptions!$B$7),"Check near limit","Within capacity"))))</f>
        <v/>
      </c>
    </row>
    <row r="30">
      <c r="A30" s="8">
        <f>IF(23&lt;=Assumptions!$B$6,Assumptions!$B$5+7*(23-1),"")</f>
        <v/>
      </c>
      <c r="B30" s="9">
        <f>IF($A30="","",SUMIFS(Bookings!$J$4:$J$103,Bookings!$B$4:$B$103,$A30))</f>
        <v/>
      </c>
      <c r="C30" s="9">
        <f>IF($A30="","",IFERROR(VLOOKUP($A30,Capacity!$A$4:$C$103,2,FALSE),""))</f>
        <v/>
      </c>
      <c r="D30" s="10">
        <f>IF(OR($A30="",$C30=""),"",IF($C30=0,IF($B30&gt;0,1,0),IFERROR($B30/$C30,"")))</f>
        <v/>
      </c>
      <c r="E30" s="9">
        <f>IF($A30="","",SUMIFS(Bookings!$K$4:$K$103,Bookings!$B$4:$B$103,$A30))</f>
        <v/>
      </c>
      <c r="F30" s="9">
        <f>IF($A30="","",IFERROR(VLOOKUP($A30,Capacity!$A$4:$C$103,3,FALSE),""))</f>
        <v/>
      </c>
      <c r="G30" s="10">
        <f>IF(OR($A30="",$F30=""),"",IF($F30=0,IF($E30&gt;0,1,0),IFERROR($E30/$F30,"")))</f>
        <v/>
      </c>
      <c r="H30" s="11">
        <f>IF($A30="","",IF(OR($C30="",$F30=""),"Enter capacity",IF(OR(AND($B30&gt;0,$B30&gt;=$C30),AND($E30&gt;0,$E30&gt;=$F30)),"Over capacity",IF(OR($D30&gt;=Assumptions!$B$7,$G30&gt;=Assumptions!$B$7),"Check near limit","Within capacity"))))</f>
        <v/>
      </c>
    </row>
    <row r="31">
      <c r="A31" s="12">
        <f>IF(24&lt;=Assumptions!$B$6,Assumptions!$B$5+7*(24-1),"")</f>
        <v/>
      </c>
      <c r="B31" s="13">
        <f>IF($A31="","",SUMIFS(Bookings!$J$4:$J$103,Bookings!$B$4:$B$103,$A31))</f>
        <v/>
      </c>
      <c r="C31" s="13">
        <f>IF($A31="","",IFERROR(VLOOKUP($A31,Capacity!$A$4:$C$103,2,FALSE),""))</f>
        <v/>
      </c>
      <c r="D31" s="14">
        <f>IF(OR($A31="",$C31=""),"",IF($C31=0,IF($B31&gt;0,1,0),IFERROR($B31/$C31,"")))</f>
        <v/>
      </c>
      <c r="E31" s="13">
        <f>IF($A31="","",SUMIFS(Bookings!$K$4:$K$103,Bookings!$B$4:$B$103,$A31))</f>
        <v/>
      </c>
      <c r="F31" s="13">
        <f>IF($A31="","",IFERROR(VLOOKUP($A31,Capacity!$A$4:$C$103,3,FALSE),""))</f>
        <v/>
      </c>
      <c r="G31" s="14">
        <f>IF(OR($A31="",$F31=""),"",IF($F31=0,IF($E31&gt;0,1,0),IFERROR($E31/$F31,"")))</f>
        <v/>
      </c>
      <c r="H31" s="15">
        <f>IF($A31="","",IF(OR($C31="",$F31=""),"Enter capacity",IF(OR(AND($B31&gt;0,$B31&gt;=$C31),AND($E31&gt;0,$E31&gt;=$F31)),"Over capacity",IF(OR($D31&gt;=Assumptions!$B$7,$G31&gt;=Assumptions!$B$7),"Check near limit","Within capacity"))))</f>
        <v/>
      </c>
    </row>
    <row r="32">
      <c r="A32" s="8">
        <f>IF(25&lt;=Assumptions!$B$6,Assumptions!$B$5+7*(25-1),"")</f>
        <v/>
      </c>
      <c r="B32" s="9">
        <f>IF($A32="","",SUMIFS(Bookings!$J$4:$J$103,Bookings!$B$4:$B$103,$A32))</f>
        <v/>
      </c>
      <c r="C32" s="9">
        <f>IF($A32="","",IFERROR(VLOOKUP($A32,Capacity!$A$4:$C$103,2,FALSE),""))</f>
        <v/>
      </c>
      <c r="D32" s="10">
        <f>IF(OR($A32="",$C32=""),"",IF($C32=0,IF($B32&gt;0,1,0),IFERROR($B32/$C32,"")))</f>
        <v/>
      </c>
      <c r="E32" s="9">
        <f>IF($A32="","",SUMIFS(Bookings!$K$4:$K$103,Bookings!$B$4:$B$103,$A32))</f>
        <v/>
      </c>
      <c r="F32" s="9">
        <f>IF($A32="","",IFERROR(VLOOKUP($A32,Capacity!$A$4:$C$103,3,FALSE),""))</f>
        <v/>
      </c>
      <c r="G32" s="10">
        <f>IF(OR($A32="",$F32=""),"",IF($F32=0,IF($E32&gt;0,1,0),IFERROR($E32/$F32,"")))</f>
        <v/>
      </c>
      <c r="H32" s="11">
        <f>IF($A32="","",IF(OR($C32="",$F32=""),"Enter capacity",IF(OR(AND($B32&gt;0,$B32&gt;=$C32),AND($E32&gt;0,$E32&gt;=$F32)),"Over capacity",IF(OR($D32&gt;=Assumptions!$B$7,$G32&gt;=Assumptions!$B$7),"Check near limit","Within capacity"))))</f>
        <v/>
      </c>
    </row>
    <row r="33">
      <c r="A33" s="12">
        <f>IF(26&lt;=Assumptions!$B$6,Assumptions!$B$5+7*(26-1),"")</f>
        <v/>
      </c>
      <c r="B33" s="13">
        <f>IF($A33="","",SUMIFS(Bookings!$J$4:$J$103,Bookings!$B$4:$B$103,$A33))</f>
        <v/>
      </c>
      <c r="C33" s="13">
        <f>IF($A33="","",IFERROR(VLOOKUP($A33,Capacity!$A$4:$C$103,2,FALSE),""))</f>
        <v/>
      </c>
      <c r="D33" s="14">
        <f>IF(OR($A33="",$C33=""),"",IF($C33=0,IF($B33&gt;0,1,0),IFERROR($B33/$C33,"")))</f>
        <v/>
      </c>
      <c r="E33" s="13">
        <f>IF($A33="","",SUMIFS(Bookings!$K$4:$K$103,Bookings!$B$4:$B$103,$A33))</f>
        <v/>
      </c>
      <c r="F33" s="13">
        <f>IF($A33="","",IFERROR(VLOOKUP($A33,Capacity!$A$4:$C$103,3,FALSE),""))</f>
        <v/>
      </c>
      <c r="G33" s="14">
        <f>IF(OR($A33="",$F33=""),"",IF($F33=0,IF($E33&gt;0,1,0),IFERROR($E33/$F33,"")))</f>
        <v/>
      </c>
      <c r="H33" s="15">
        <f>IF($A33="","",IF(OR($C33="",$F33=""),"Enter capacity",IF(OR(AND($B33&gt;0,$B33&gt;=$C33),AND($E33&gt;0,$E33&gt;=$F33)),"Over capacity",IF(OR($D33&gt;=Assumptions!$B$7,$G33&gt;=Assumptions!$B$7),"Check near limit","Within capacity"))))</f>
        <v/>
      </c>
    </row>
    <row r="34">
      <c r="A34" s="8">
        <f>IF(27&lt;=Assumptions!$B$6,Assumptions!$B$5+7*(27-1),"")</f>
        <v/>
      </c>
      <c r="B34" s="9">
        <f>IF($A34="","",SUMIFS(Bookings!$J$4:$J$103,Bookings!$B$4:$B$103,$A34))</f>
        <v/>
      </c>
      <c r="C34" s="9">
        <f>IF($A34="","",IFERROR(VLOOKUP($A34,Capacity!$A$4:$C$103,2,FALSE),""))</f>
        <v/>
      </c>
      <c r="D34" s="10">
        <f>IF(OR($A34="",$C34=""),"",IF($C34=0,IF($B34&gt;0,1,0),IFERROR($B34/$C34,"")))</f>
        <v/>
      </c>
      <c r="E34" s="9">
        <f>IF($A34="","",SUMIFS(Bookings!$K$4:$K$103,Bookings!$B$4:$B$103,$A34))</f>
        <v/>
      </c>
      <c r="F34" s="9">
        <f>IF($A34="","",IFERROR(VLOOKUP($A34,Capacity!$A$4:$C$103,3,FALSE),""))</f>
        <v/>
      </c>
      <c r="G34" s="10">
        <f>IF(OR($A34="",$F34=""),"",IF($F34=0,IF($E34&gt;0,1,0),IFERROR($E34/$F34,"")))</f>
        <v/>
      </c>
      <c r="H34" s="11">
        <f>IF($A34="","",IF(OR($C34="",$F34=""),"Enter capacity",IF(OR(AND($B34&gt;0,$B34&gt;=$C34),AND($E34&gt;0,$E34&gt;=$F34)),"Over capacity",IF(OR($D34&gt;=Assumptions!$B$7,$G34&gt;=Assumptions!$B$7),"Check near limit","Within capacity"))))</f>
        <v/>
      </c>
    </row>
    <row r="35">
      <c r="A35" s="12">
        <f>IF(28&lt;=Assumptions!$B$6,Assumptions!$B$5+7*(28-1),"")</f>
        <v/>
      </c>
      <c r="B35" s="13">
        <f>IF($A35="","",SUMIFS(Bookings!$J$4:$J$103,Bookings!$B$4:$B$103,$A35))</f>
        <v/>
      </c>
      <c r="C35" s="13">
        <f>IF($A35="","",IFERROR(VLOOKUP($A35,Capacity!$A$4:$C$103,2,FALSE),""))</f>
        <v/>
      </c>
      <c r="D35" s="14">
        <f>IF(OR($A35="",$C35=""),"",IF($C35=0,IF($B35&gt;0,1,0),IFERROR($B35/$C35,"")))</f>
        <v/>
      </c>
      <c r="E35" s="13">
        <f>IF($A35="","",SUMIFS(Bookings!$K$4:$K$103,Bookings!$B$4:$B$103,$A35))</f>
        <v/>
      </c>
      <c r="F35" s="13">
        <f>IF($A35="","",IFERROR(VLOOKUP($A35,Capacity!$A$4:$C$103,3,FALSE),""))</f>
        <v/>
      </c>
      <c r="G35" s="14">
        <f>IF(OR($A35="",$F35=""),"",IF($F35=0,IF($E35&gt;0,1,0),IFERROR($E35/$F35,"")))</f>
        <v/>
      </c>
      <c r="H35" s="15">
        <f>IF($A35="","",IF(OR($C35="",$F35=""),"Enter capacity",IF(OR(AND($B35&gt;0,$B35&gt;=$C35),AND($E35&gt;0,$E35&gt;=$F35)),"Over capacity",IF(OR($D35&gt;=Assumptions!$B$7,$G35&gt;=Assumptions!$B$7),"Check near limit","Within capacity"))))</f>
        <v/>
      </c>
    </row>
    <row r="36">
      <c r="A36" s="8">
        <f>IF(29&lt;=Assumptions!$B$6,Assumptions!$B$5+7*(29-1),"")</f>
        <v/>
      </c>
      <c r="B36" s="9">
        <f>IF($A36="","",SUMIFS(Bookings!$J$4:$J$103,Bookings!$B$4:$B$103,$A36))</f>
        <v/>
      </c>
      <c r="C36" s="9">
        <f>IF($A36="","",IFERROR(VLOOKUP($A36,Capacity!$A$4:$C$103,2,FALSE),""))</f>
        <v/>
      </c>
      <c r="D36" s="10">
        <f>IF(OR($A36="",$C36=""),"",IF($C36=0,IF($B36&gt;0,1,0),IFERROR($B36/$C36,"")))</f>
        <v/>
      </c>
      <c r="E36" s="9">
        <f>IF($A36="","",SUMIFS(Bookings!$K$4:$K$103,Bookings!$B$4:$B$103,$A36))</f>
        <v/>
      </c>
      <c r="F36" s="9">
        <f>IF($A36="","",IFERROR(VLOOKUP($A36,Capacity!$A$4:$C$103,3,FALSE),""))</f>
        <v/>
      </c>
      <c r="G36" s="10">
        <f>IF(OR($A36="",$F36=""),"",IF($F36=0,IF($E36&gt;0,1,0),IFERROR($E36/$F36,"")))</f>
        <v/>
      </c>
      <c r="H36" s="11">
        <f>IF($A36="","",IF(OR($C36="",$F36=""),"Enter capacity",IF(OR(AND($B36&gt;0,$B36&gt;=$C36),AND($E36&gt;0,$E36&gt;=$F36)),"Over capacity",IF(OR($D36&gt;=Assumptions!$B$7,$G36&gt;=Assumptions!$B$7),"Check near limit","Within capacity"))))</f>
        <v/>
      </c>
    </row>
    <row r="37">
      <c r="A37" s="12">
        <f>IF(30&lt;=Assumptions!$B$6,Assumptions!$B$5+7*(30-1),"")</f>
        <v/>
      </c>
      <c r="B37" s="13">
        <f>IF($A37="","",SUMIFS(Bookings!$J$4:$J$103,Bookings!$B$4:$B$103,$A37))</f>
        <v/>
      </c>
      <c r="C37" s="13">
        <f>IF($A37="","",IFERROR(VLOOKUP($A37,Capacity!$A$4:$C$103,2,FALSE),""))</f>
        <v/>
      </c>
      <c r="D37" s="14">
        <f>IF(OR($A37="",$C37=""),"",IF($C37=0,IF($B37&gt;0,1,0),IFERROR($B37/$C37,"")))</f>
        <v/>
      </c>
      <c r="E37" s="13">
        <f>IF($A37="","",SUMIFS(Bookings!$K$4:$K$103,Bookings!$B$4:$B$103,$A37))</f>
        <v/>
      </c>
      <c r="F37" s="13">
        <f>IF($A37="","",IFERROR(VLOOKUP($A37,Capacity!$A$4:$C$103,3,FALSE),""))</f>
        <v/>
      </c>
      <c r="G37" s="14">
        <f>IF(OR($A37="",$F37=""),"",IF($F37=0,IF($E37&gt;0,1,0),IFERROR($E37/$F37,"")))</f>
        <v/>
      </c>
      <c r="H37" s="15">
        <f>IF($A37="","",IF(OR($C37="",$F37=""),"Enter capacity",IF(OR(AND($B37&gt;0,$B37&gt;=$C37),AND($E37&gt;0,$E37&gt;=$F37)),"Over capacity",IF(OR($D37&gt;=Assumptions!$B$7,$G37&gt;=Assumptions!$B$7),"Check near limit","Within capacity"))))</f>
        <v/>
      </c>
    </row>
    <row r="38">
      <c r="A38" s="8">
        <f>IF(31&lt;=Assumptions!$B$6,Assumptions!$B$5+7*(31-1),"")</f>
        <v/>
      </c>
      <c r="B38" s="9">
        <f>IF($A38="","",SUMIFS(Bookings!$J$4:$J$103,Bookings!$B$4:$B$103,$A38))</f>
        <v/>
      </c>
      <c r="C38" s="9">
        <f>IF($A38="","",IFERROR(VLOOKUP($A38,Capacity!$A$4:$C$103,2,FALSE),""))</f>
        <v/>
      </c>
      <c r="D38" s="10">
        <f>IF(OR($A38="",$C38=""),"",IF($C38=0,IF($B38&gt;0,1,0),IFERROR($B38/$C38,"")))</f>
        <v/>
      </c>
      <c r="E38" s="9">
        <f>IF($A38="","",SUMIFS(Bookings!$K$4:$K$103,Bookings!$B$4:$B$103,$A38))</f>
        <v/>
      </c>
      <c r="F38" s="9">
        <f>IF($A38="","",IFERROR(VLOOKUP($A38,Capacity!$A$4:$C$103,3,FALSE),""))</f>
        <v/>
      </c>
      <c r="G38" s="10">
        <f>IF(OR($A38="",$F38=""),"",IF($F38=0,IF($E38&gt;0,1,0),IFERROR($E38/$F38,"")))</f>
        <v/>
      </c>
      <c r="H38" s="11">
        <f>IF($A38="","",IF(OR($C38="",$F38=""),"Enter capacity",IF(OR(AND($B38&gt;0,$B38&gt;=$C38),AND($E38&gt;0,$E38&gt;=$F38)),"Over capacity",IF(OR($D38&gt;=Assumptions!$B$7,$G38&gt;=Assumptions!$B$7),"Check near limit","Within capacity"))))</f>
        <v/>
      </c>
    </row>
    <row r="39">
      <c r="A39" s="12">
        <f>IF(32&lt;=Assumptions!$B$6,Assumptions!$B$5+7*(32-1),"")</f>
        <v/>
      </c>
      <c r="B39" s="13">
        <f>IF($A39="","",SUMIFS(Bookings!$J$4:$J$103,Bookings!$B$4:$B$103,$A39))</f>
        <v/>
      </c>
      <c r="C39" s="13">
        <f>IF($A39="","",IFERROR(VLOOKUP($A39,Capacity!$A$4:$C$103,2,FALSE),""))</f>
        <v/>
      </c>
      <c r="D39" s="14">
        <f>IF(OR($A39="",$C39=""),"",IF($C39=0,IF($B39&gt;0,1,0),IFERROR($B39/$C39,"")))</f>
        <v/>
      </c>
      <c r="E39" s="13">
        <f>IF($A39="","",SUMIFS(Bookings!$K$4:$K$103,Bookings!$B$4:$B$103,$A39))</f>
        <v/>
      </c>
      <c r="F39" s="13">
        <f>IF($A39="","",IFERROR(VLOOKUP($A39,Capacity!$A$4:$C$103,3,FALSE),""))</f>
        <v/>
      </c>
      <c r="G39" s="14">
        <f>IF(OR($A39="",$F39=""),"",IF($F39=0,IF($E39&gt;0,1,0),IFERROR($E39/$F39,"")))</f>
        <v/>
      </c>
      <c r="H39" s="15">
        <f>IF($A39="","",IF(OR($C39="",$F39=""),"Enter capacity",IF(OR(AND($B39&gt;0,$B39&gt;=$C39),AND($E39&gt;0,$E39&gt;=$F39)),"Over capacity",IF(OR($D39&gt;=Assumptions!$B$7,$G39&gt;=Assumptions!$B$7),"Check near limit","Within capacity"))))</f>
        <v/>
      </c>
    </row>
    <row r="40">
      <c r="A40" s="8">
        <f>IF(33&lt;=Assumptions!$B$6,Assumptions!$B$5+7*(33-1),"")</f>
        <v/>
      </c>
      <c r="B40" s="9">
        <f>IF($A40="","",SUMIFS(Bookings!$J$4:$J$103,Bookings!$B$4:$B$103,$A40))</f>
        <v/>
      </c>
      <c r="C40" s="9">
        <f>IF($A40="","",IFERROR(VLOOKUP($A40,Capacity!$A$4:$C$103,2,FALSE),""))</f>
        <v/>
      </c>
      <c r="D40" s="10">
        <f>IF(OR($A40="",$C40=""),"",IF($C40=0,IF($B40&gt;0,1,0),IFERROR($B40/$C40,"")))</f>
        <v/>
      </c>
      <c r="E40" s="9">
        <f>IF($A40="","",SUMIFS(Bookings!$K$4:$K$103,Bookings!$B$4:$B$103,$A40))</f>
        <v/>
      </c>
      <c r="F40" s="9">
        <f>IF($A40="","",IFERROR(VLOOKUP($A40,Capacity!$A$4:$C$103,3,FALSE),""))</f>
        <v/>
      </c>
      <c r="G40" s="10">
        <f>IF(OR($A40="",$F40=""),"",IF($F40=0,IF($E40&gt;0,1,0),IFERROR($E40/$F40,"")))</f>
        <v/>
      </c>
      <c r="H40" s="11">
        <f>IF($A40="","",IF(OR($C40="",$F40=""),"Enter capacity",IF(OR(AND($B40&gt;0,$B40&gt;=$C40),AND($E40&gt;0,$E40&gt;=$F40)),"Over capacity",IF(OR($D40&gt;=Assumptions!$B$7,$G40&gt;=Assumptions!$B$7),"Check near limit","Within capacity"))))</f>
        <v/>
      </c>
    </row>
    <row r="41">
      <c r="A41" s="12">
        <f>IF(34&lt;=Assumptions!$B$6,Assumptions!$B$5+7*(34-1),"")</f>
        <v/>
      </c>
      <c r="B41" s="13">
        <f>IF($A41="","",SUMIFS(Bookings!$J$4:$J$103,Bookings!$B$4:$B$103,$A41))</f>
        <v/>
      </c>
      <c r="C41" s="13">
        <f>IF($A41="","",IFERROR(VLOOKUP($A41,Capacity!$A$4:$C$103,2,FALSE),""))</f>
        <v/>
      </c>
      <c r="D41" s="14">
        <f>IF(OR($A41="",$C41=""),"",IF($C41=0,IF($B41&gt;0,1,0),IFERROR($B41/$C41,"")))</f>
        <v/>
      </c>
      <c r="E41" s="13">
        <f>IF($A41="","",SUMIFS(Bookings!$K$4:$K$103,Bookings!$B$4:$B$103,$A41))</f>
        <v/>
      </c>
      <c r="F41" s="13">
        <f>IF($A41="","",IFERROR(VLOOKUP($A41,Capacity!$A$4:$C$103,3,FALSE),""))</f>
        <v/>
      </c>
      <c r="G41" s="14">
        <f>IF(OR($A41="",$F41=""),"",IF($F41=0,IF($E41&gt;0,1,0),IFERROR($E41/$F41,"")))</f>
        <v/>
      </c>
      <c r="H41" s="15">
        <f>IF($A41="","",IF(OR($C41="",$F41=""),"Enter capacity",IF(OR(AND($B41&gt;0,$B41&gt;=$C41),AND($E41&gt;0,$E41&gt;=$F41)),"Over capacity",IF(OR($D41&gt;=Assumptions!$B$7,$G41&gt;=Assumptions!$B$7),"Check near limit","Within capacity"))))</f>
        <v/>
      </c>
    </row>
    <row r="42">
      <c r="A42" s="8">
        <f>IF(35&lt;=Assumptions!$B$6,Assumptions!$B$5+7*(35-1),"")</f>
        <v/>
      </c>
      <c r="B42" s="9">
        <f>IF($A42="","",SUMIFS(Bookings!$J$4:$J$103,Bookings!$B$4:$B$103,$A42))</f>
        <v/>
      </c>
      <c r="C42" s="9">
        <f>IF($A42="","",IFERROR(VLOOKUP($A42,Capacity!$A$4:$C$103,2,FALSE),""))</f>
        <v/>
      </c>
      <c r="D42" s="10">
        <f>IF(OR($A42="",$C42=""),"",IF($C42=0,IF($B42&gt;0,1,0),IFERROR($B42/$C42,"")))</f>
        <v/>
      </c>
      <c r="E42" s="9">
        <f>IF($A42="","",SUMIFS(Bookings!$K$4:$K$103,Bookings!$B$4:$B$103,$A42))</f>
        <v/>
      </c>
      <c r="F42" s="9">
        <f>IF($A42="","",IFERROR(VLOOKUP($A42,Capacity!$A$4:$C$103,3,FALSE),""))</f>
        <v/>
      </c>
      <c r="G42" s="10">
        <f>IF(OR($A42="",$F42=""),"",IF($F42=0,IF($E42&gt;0,1,0),IFERROR($E42/$F42,"")))</f>
        <v/>
      </c>
      <c r="H42" s="11">
        <f>IF($A42="","",IF(OR($C42="",$F42=""),"Enter capacity",IF(OR(AND($B42&gt;0,$B42&gt;=$C42),AND($E42&gt;0,$E42&gt;=$F42)),"Over capacity",IF(OR($D42&gt;=Assumptions!$B$7,$G42&gt;=Assumptions!$B$7),"Check near limit","Within capacity"))))</f>
        <v/>
      </c>
    </row>
    <row r="43">
      <c r="A43" s="12">
        <f>IF(36&lt;=Assumptions!$B$6,Assumptions!$B$5+7*(36-1),"")</f>
        <v/>
      </c>
      <c r="B43" s="13">
        <f>IF($A43="","",SUMIFS(Bookings!$J$4:$J$103,Bookings!$B$4:$B$103,$A43))</f>
        <v/>
      </c>
      <c r="C43" s="13">
        <f>IF($A43="","",IFERROR(VLOOKUP($A43,Capacity!$A$4:$C$103,2,FALSE),""))</f>
        <v/>
      </c>
      <c r="D43" s="14">
        <f>IF(OR($A43="",$C43=""),"",IF($C43=0,IF($B43&gt;0,1,0),IFERROR($B43/$C43,"")))</f>
        <v/>
      </c>
      <c r="E43" s="13">
        <f>IF($A43="","",SUMIFS(Bookings!$K$4:$K$103,Bookings!$B$4:$B$103,$A43))</f>
        <v/>
      </c>
      <c r="F43" s="13">
        <f>IF($A43="","",IFERROR(VLOOKUP($A43,Capacity!$A$4:$C$103,3,FALSE),""))</f>
        <v/>
      </c>
      <c r="G43" s="14">
        <f>IF(OR($A43="",$F43=""),"",IF($F43=0,IF($E43&gt;0,1,0),IFERROR($E43/$F43,"")))</f>
        <v/>
      </c>
      <c r="H43" s="15">
        <f>IF($A43="","",IF(OR($C43="",$F43=""),"Enter capacity",IF(OR(AND($B43&gt;0,$B43&gt;=$C43),AND($E43&gt;0,$E43&gt;=$F43)),"Over capacity",IF(OR($D43&gt;=Assumptions!$B$7,$G43&gt;=Assumptions!$B$7),"Check near limit","Within capacity"))))</f>
        <v/>
      </c>
    </row>
    <row r="44">
      <c r="A44" s="8">
        <f>IF(37&lt;=Assumptions!$B$6,Assumptions!$B$5+7*(37-1),"")</f>
        <v/>
      </c>
      <c r="B44" s="9">
        <f>IF($A44="","",SUMIFS(Bookings!$J$4:$J$103,Bookings!$B$4:$B$103,$A44))</f>
        <v/>
      </c>
      <c r="C44" s="9">
        <f>IF($A44="","",IFERROR(VLOOKUP($A44,Capacity!$A$4:$C$103,2,FALSE),""))</f>
        <v/>
      </c>
      <c r="D44" s="10">
        <f>IF(OR($A44="",$C44=""),"",IF($C44=0,IF($B44&gt;0,1,0),IFERROR($B44/$C44,"")))</f>
        <v/>
      </c>
      <c r="E44" s="9">
        <f>IF($A44="","",SUMIFS(Bookings!$K$4:$K$103,Bookings!$B$4:$B$103,$A44))</f>
        <v/>
      </c>
      <c r="F44" s="9">
        <f>IF($A44="","",IFERROR(VLOOKUP($A44,Capacity!$A$4:$C$103,3,FALSE),""))</f>
        <v/>
      </c>
      <c r="G44" s="10">
        <f>IF(OR($A44="",$F44=""),"",IF($F44=0,IF($E44&gt;0,1,0),IFERROR($E44/$F44,"")))</f>
        <v/>
      </c>
      <c r="H44" s="11">
        <f>IF($A44="","",IF(OR($C44="",$F44=""),"Enter capacity",IF(OR(AND($B44&gt;0,$B44&gt;=$C44),AND($E44&gt;0,$E44&gt;=$F44)),"Over capacity",IF(OR($D44&gt;=Assumptions!$B$7,$G44&gt;=Assumptions!$B$7),"Check near limit","Within capacity"))))</f>
        <v/>
      </c>
    </row>
    <row r="45">
      <c r="A45" s="12">
        <f>IF(38&lt;=Assumptions!$B$6,Assumptions!$B$5+7*(38-1),"")</f>
        <v/>
      </c>
      <c r="B45" s="13">
        <f>IF($A45="","",SUMIFS(Bookings!$J$4:$J$103,Bookings!$B$4:$B$103,$A45))</f>
        <v/>
      </c>
      <c r="C45" s="13">
        <f>IF($A45="","",IFERROR(VLOOKUP($A45,Capacity!$A$4:$C$103,2,FALSE),""))</f>
        <v/>
      </c>
      <c r="D45" s="14">
        <f>IF(OR($A45="",$C45=""),"",IF($C45=0,IF($B45&gt;0,1,0),IFERROR($B45/$C45,"")))</f>
        <v/>
      </c>
      <c r="E45" s="13">
        <f>IF($A45="","",SUMIFS(Bookings!$K$4:$K$103,Bookings!$B$4:$B$103,$A45))</f>
        <v/>
      </c>
      <c r="F45" s="13">
        <f>IF($A45="","",IFERROR(VLOOKUP($A45,Capacity!$A$4:$C$103,3,FALSE),""))</f>
        <v/>
      </c>
      <c r="G45" s="14">
        <f>IF(OR($A45="",$F45=""),"",IF($F45=0,IF($E45&gt;0,1,0),IFERROR($E45/$F45,"")))</f>
        <v/>
      </c>
      <c r="H45" s="15">
        <f>IF($A45="","",IF(OR($C45="",$F45=""),"Enter capacity",IF(OR(AND($B45&gt;0,$B45&gt;=$C45),AND($E45&gt;0,$E45&gt;=$F45)),"Over capacity",IF(OR($D45&gt;=Assumptions!$B$7,$G45&gt;=Assumptions!$B$7),"Check near limit","Within capacity"))))</f>
        <v/>
      </c>
    </row>
    <row r="46">
      <c r="A46" s="8">
        <f>IF(39&lt;=Assumptions!$B$6,Assumptions!$B$5+7*(39-1),"")</f>
        <v/>
      </c>
      <c r="B46" s="9">
        <f>IF($A46="","",SUMIFS(Bookings!$J$4:$J$103,Bookings!$B$4:$B$103,$A46))</f>
        <v/>
      </c>
      <c r="C46" s="9">
        <f>IF($A46="","",IFERROR(VLOOKUP($A46,Capacity!$A$4:$C$103,2,FALSE),""))</f>
        <v/>
      </c>
      <c r="D46" s="10">
        <f>IF(OR($A46="",$C46=""),"",IF($C46=0,IF($B46&gt;0,1,0),IFERROR($B46/$C46,"")))</f>
        <v/>
      </c>
      <c r="E46" s="9">
        <f>IF($A46="","",SUMIFS(Bookings!$K$4:$K$103,Bookings!$B$4:$B$103,$A46))</f>
        <v/>
      </c>
      <c r="F46" s="9">
        <f>IF($A46="","",IFERROR(VLOOKUP($A46,Capacity!$A$4:$C$103,3,FALSE),""))</f>
        <v/>
      </c>
      <c r="G46" s="10">
        <f>IF(OR($A46="",$F46=""),"",IF($F46=0,IF($E46&gt;0,1,0),IFERROR($E46/$F46,"")))</f>
        <v/>
      </c>
      <c r="H46" s="11">
        <f>IF($A46="","",IF(OR($C46="",$F46=""),"Enter capacity",IF(OR(AND($B46&gt;0,$B46&gt;=$C46),AND($E46&gt;0,$E46&gt;=$F46)),"Over capacity",IF(OR($D46&gt;=Assumptions!$B$7,$G46&gt;=Assumptions!$B$7),"Check near limit","Within capacity"))))</f>
        <v/>
      </c>
    </row>
    <row r="47">
      <c r="A47" s="12">
        <f>IF(40&lt;=Assumptions!$B$6,Assumptions!$B$5+7*(40-1),"")</f>
        <v/>
      </c>
      <c r="B47" s="13">
        <f>IF($A47="","",SUMIFS(Bookings!$J$4:$J$103,Bookings!$B$4:$B$103,$A47))</f>
        <v/>
      </c>
      <c r="C47" s="13">
        <f>IF($A47="","",IFERROR(VLOOKUP($A47,Capacity!$A$4:$C$103,2,FALSE),""))</f>
        <v/>
      </c>
      <c r="D47" s="14">
        <f>IF(OR($A47="",$C47=""),"",IF($C47=0,IF($B47&gt;0,1,0),IFERROR($B47/$C47,"")))</f>
        <v/>
      </c>
      <c r="E47" s="13">
        <f>IF($A47="","",SUMIFS(Bookings!$K$4:$K$103,Bookings!$B$4:$B$103,$A47))</f>
        <v/>
      </c>
      <c r="F47" s="13">
        <f>IF($A47="","",IFERROR(VLOOKUP($A47,Capacity!$A$4:$C$103,3,FALSE),""))</f>
        <v/>
      </c>
      <c r="G47" s="14">
        <f>IF(OR($A47="",$F47=""),"",IF($F47=0,IF($E47&gt;0,1,0),IFERROR($E47/$F47,"")))</f>
        <v/>
      </c>
      <c r="H47" s="15">
        <f>IF($A47="","",IF(OR($C47="",$F47=""),"Enter capacity",IF(OR(AND($B47&gt;0,$B47&gt;=$C47),AND($E47&gt;0,$E47&gt;=$F47)),"Over capacity",IF(OR($D47&gt;=Assumptions!$B$7,$G47&gt;=Assumptions!$B$7),"Check near limit","Within capacity"))))</f>
        <v/>
      </c>
    </row>
    <row r="48">
      <c r="A48" s="8">
        <f>IF(41&lt;=Assumptions!$B$6,Assumptions!$B$5+7*(41-1),"")</f>
        <v/>
      </c>
      <c r="B48" s="9">
        <f>IF($A48="","",SUMIFS(Bookings!$J$4:$J$103,Bookings!$B$4:$B$103,$A48))</f>
        <v/>
      </c>
      <c r="C48" s="9">
        <f>IF($A48="","",IFERROR(VLOOKUP($A48,Capacity!$A$4:$C$103,2,FALSE),""))</f>
        <v/>
      </c>
      <c r="D48" s="10">
        <f>IF(OR($A48="",$C48=""),"",IF($C48=0,IF($B48&gt;0,1,0),IFERROR($B48/$C48,"")))</f>
        <v/>
      </c>
      <c r="E48" s="9">
        <f>IF($A48="","",SUMIFS(Bookings!$K$4:$K$103,Bookings!$B$4:$B$103,$A48))</f>
        <v/>
      </c>
      <c r="F48" s="9">
        <f>IF($A48="","",IFERROR(VLOOKUP($A48,Capacity!$A$4:$C$103,3,FALSE),""))</f>
        <v/>
      </c>
      <c r="G48" s="10">
        <f>IF(OR($A48="",$F48=""),"",IF($F48=0,IF($E48&gt;0,1,0),IFERROR($E48/$F48,"")))</f>
        <v/>
      </c>
      <c r="H48" s="11">
        <f>IF($A48="","",IF(OR($C48="",$F48=""),"Enter capacity",IF(OR(AND($B48&gt;0,$B48&gt;=$C48),AND($E48&gt;0,$E48&gt;=$F48)),"Over capacity",IF(OR($D48&gt;=Assumptions!$B$7,$G48&gt;=Assumptions!$B$7),"Check near limit","Within capacity"))))</f>
        <v/>
      </c>
    </row>
    <row r="49">
      <c r="A49" s="12">
        <f>IF(42&lt;=Assumptions!$B$6,Assumptions!$B$5+7*(42-1),"")</f>
        <v/>
      </c>
      <c r="B49" s="13">
        <f>IF($A49="","",SUMIFS(Bookings!$J$4:$J$103,Bookings!$B$4:$B$103,$A49))</f>
        <v/>
      </c>
      <c r="C49" s="13">
        <f>IF($A49="","",IFERROR(VLOOKUP($A49,Capacity!$A$4:$C$103,2,FALSE),""))</f>
        <v/>
      </c>
      <c r="D49" s="14">
        <f>IF(OR($A49="",$C49=""),"",IF($C49=0,IF($B49&gt;0,1,0),IFERROR($B49/$C49,"")))</f>
        <v/>
      </c>
      <c r="E49" s="13">
        <f>IF($A49="","",SUMIFS(Bookings!$K$4:$K$103,Bookings!$B$4:$B$103,$A49))</f>
        <v/>
      </c>
      <c r="F49" s="13">
        <f>IF($A49="","",IFERROR(VLOOKUP($A49,Capacity!$A$4:$C$103,3,FALSE),""))</f>
        <v/>
      </c>
      <c r="G49" s="14">
        <f>IF(OR($A49="",$F49=""),"",IF($F49=0,IF($E49&gt;0,1,0),IFERROR($E49/$F49,"")))</f>
        <v/>
      </c>
      <c r="H49" s="15">
        <f>IF($A49="","",IF(OR($C49="",$F49=""),"Enter capacity",IF(OR(AND($B49&gt;0,$B49&gt;=$C49),AND($E49&gt;0,$E49&gt;=$F49)),"Over capacity",IF(OR($D49&gt;=Assumptions!$B$7,$G49&gt;=Assumptions!$B$7),"Check near limit","Within capacity"))))</f>
        <v/>
      </c>
    </row>
    <row r="50">
      <c r="A50" s="8">
        <f>IF(43&lt;=Assumptions!$B$6,Assumptions!$B$5+7*(43-1),"")</f>
        <v/>
      </c>
      <c r="B50" s="9">
        <f>IF($A50="","",SUMIFS(Bookings!$J$4:$J$103,Bookings!$B$4:$B$103,$A50))</f>
        <v/>
      </c>
      <c r="C50" s="9">
        <f>IF($A50="","",IFERROR(VLOOKUP($A50,Capacity!$A$4:$C$103,2,FALSE),""))</f>
        <v/>
      </c>
      <c r="D50" s="10">
        <f>IF(OR($A50="",$C50=""),"",IF($C50=0,IF($B50&gt;0,1,0),IFERROR($B50/$C50,"")))</f>
        <v/>
      </c>
      <c r="E50" s="9">
        <f>IF($A50="","",SUMIFS(Bookings!$K$4:$K$103,Bookings!$B$4:$B$103,$A50))</f>
        <v/>
      </c>
      <c r="F50" s="9">
        <f>IF($A50="","",IFERROR(VLOOKUP($A50,Capacity!$A$4:$C$103,3,FALSE),""))</f>
        <v/>
      </c>
      <c r="G50" s="10">
        <f>IF(OR($A50="",$F50=""),"",IF($F50=0,IF($E50&gt;0,1,0),IFERROR($E50/$F50,"")))</f>
        <v/>
      </c>
      <c r="H50" s="11">
        <f>IF($A50="","",IF(OR($C50="",$F50=""),"Enter capacity",IF(OR(AND($B50&gt;0,$B50&gt;=$C50),AND($E50&gt;0,$E50&gt;=$F50)),"Over capacity",IF(OR($D50&gt;=Assumptions!$B$7,$G50&gt;=Assumptions!$B$7),"Check near limit","Within capacity"))))</f>
        <v/>
      </c>
    </row>
    <row r="51">
      <c r="A51" s="12">
        <f>IF(44&lt;=Assumptions!$B$6,Assumptions!$B$5+7*(44-1),"")</f>
        <v/>
      </c>
      <c r="B51" s="13">
        <f>IF($A51="","",SUMIFS(Bookings!$J$4:$J$103,Bookings!$B$4:$B$103,$A51))</f>
        <v/>
      </c>
      <c r="C51" s="13">
        <f>IF($A51="","",IFERROR(VLOOKUP($A51,Capacity!$A$4:$C$103,2,FALSE),""))</f>
        <v/>
      </c>
      <c r="D51" s="14">
        <f>IF(OR($A51="",$C51=""),"",IF($C51=0,IF($B51&gt;0,1,0),IFERROR($B51/$C51,"")))</f>
        <v/>
      </c>
      <c r="E51" s="13">
        <f>IF($A51="","",SUMIFS(Bookings!$K$4:$K$103,Bookings!$B$4:$B$103,$A51))</f>
        <v/>
      </c>
      <c r="F51" s="13">
        <f>IF($A51="","",IFERROR(VLOOKUP($A51,Capacity!$A$4:$C$103,3,FALSE),""))</f>
        <v/>
      </c>
      <c r="G51" s="14">
        <f>IF(OR($A51="",$F51=""),"",IF($F51=0,IF($E51&gt;0,1,0),IFERROR($E51/$F51,"")))</f>
        <v/>
      </c>
      <c r="H51" s="15">
        <f>IF($A51="","",IF(OR($C51="",$F51=""),"Enter capacity",IF(OR(AND($B51&gt;0,$B51&gt;=$C51),AND($E51&gt;0,$E51&gt;=$F51)),"Over capacity",IF(OR($D51&gt;=Assumptions!$B$7,$G51&gt;=Assumptions!$B$7),"Check near limit","Within capacity"))))</f>
        <v/>
      </c>
    </row>
    <row r="52">
      <c r="A52" s="8">
        <f>IF(45&lt;=Assumptions!$B$6,Assumptions!$B$5+7*(45-1),"")</f>
        <v/>
      </c>
      <c r="B52" s="9">
        <f>IF($A52="","",SUMIFS(Bookings!$J$4:$J$103,Bookings!$B$4:$B$103,$A52))</f>
        <v/>
      </c>
      <c r="C52" s="9">
        <f>IF($A52="","",IFERROR(VLOOKUP($A52,Capacity!$A$4:$C$103,2,FALSE),""))</f>
        <v/>
      </c>
      <c r="D52" s="10">
        <f>IF(OR($A52="",$C52=""),"",IF($C52=0,IF($B52&gt;0,1,0),IFERROR($B52/$C52,"")))</f>
        <v/>
      </c>
      <c r="E52" s="9">
        <f>IF($A52="","",SUMIFS(Bookings!$K$4:$K$103,Bookings!$B$4:$B$103,$A52))</f>
        <v/>
      </c>
      <c r="F52" s="9">
        <f>IF($A52="","",IFERROR(VLOOKUP($A52,Capacity!$A$4:$C$103,3,FALSE),""))</f>
        <v/>
      </c>
      <c r="G52" s="10">
        <f>IF(OR($A52="",$F52=""),"",IF($F52=0,IF($E52&gt;0,1,0),IFERROR($E52/$F52,"")))</f>
        <v/>
      </c>
      <c r="H52" s="11">
        <f>IF($A52="","",IF(OR($C52="",$F52=""),"Enter capacity",IF(OR(AND($B52&gt;0,$B52&gt;=$C52),AND($E52&gt;0,$E52&gt;=$F52)),"Over capacity",IF(OR($D52&gt;=Assumptions!$B$7,$G52&gt;=Assumptions!$B$7),"Check near limit","Within capacity"))))</f>
        <v/>
      </c>
    </row>
    <row r="53">
      <c r="A53" s="12">
        <f>IF(46&lt;=Assumptions!$B$6,Assumptions!$B$5+7*(46-1),"")</f>
        <v/>
      </c>
      <c r="B53" s="13">
        <f>IF($A53="","",SUMIFS(Bookings!$J$4:$J$103,Bookings!$B$4:$B$103,$A53))</f>
        <v/>
      </c>
      <c r="C53" s="13">
        <f>IF($A53="","",IFERROR(VLOOKUP($A53,Capacity!$A$4:$C$103,2,FALSE),""))</f>
        <v/>
      </c>
      <c r="D53" s="14">
        <f>IF(OR($A53="",$C53=""),"",IF($C53=0,IF($B53&gt;0,1,0),IFERROR($B53/$C53,"")))</f>
        <v/>
      </c>
      <c r="E53" s="13">
        <f>IF($A53="","",SUMIFS(Bookings!$K$4:$K$103,Bookings!$B$4:$B$103,$A53))</f>
        <v/>
      </c>
      <c r="F53" s="13">
        <f>IF($A53="","",IFERROR(VLOOKUP($A53,Capacity!$A$4:$C$103,3,FALSE),""))</f>
        <v/>
      </c>
      <c r="G53" s="14">
        <f>IF(OR($A53="",$F53=""),"",IF($F53=0,IF($E53&gt;0,1,0),IFERROR($E53/$F53,"")))</f>
        <v/>
      </c>
      <c r="H53" s="15">
        <f>IF($A53="","",IF(OR($C53="",$F53=""),"Enter capacity",IF(OR(AND($B53&gt;0,$B53&gt;=$C53),AND($E53&gt;0,$E53&gt;=$F53)),"Over capacity",IF(OR($D53&gt;=Assumptions!$B$7,$G53&gt;=Assumptions!$B$7),"Check near limit","Within capacity"))))</f>
        <v/>
      </c>
    </row>
    <row r="54">
      <c r="A54" s="8">
        <f>IF(47&lt;=Assumptions!$B$6,Assumptions!$B$5+7*(47-1),"")</f>
        <v/>
      </c>
      <c r="B54" s="9">
        <f>IF($A54="","",SUMIFS(Bookings!$J$4:$J$103,Bookings!$B$4:$B$103,$A54))</f>
        <v/>
      </c>
      <c r="C54" s="9">
        <f>IF($A54="","",IFERROR(VLOOKUP($A54,Capacity!$A$4:$C$103,2,FALSE),""))</f>
        <v/>
      </c>
      <c r="D54" s="10">
        <f>IF(OR($A54="",$C54=""),"",IF($C54=0,IF($B54&gt;0,1,0),IFERROR($B54/$C54,"")))</f>
        <v/>
      </c>
      <c r="E54" s="9">
        <f>IF($A54="","",SUMIFS(Bookings!$K$4:$K$103,Bookings!$B$4:$B$103,$A54))</f>
        <v/>
      </c>
      <c r="F54" s="9">
        <f>IF($A54="","",IFERROR(VLOOKUP($A54,Capacity!$A$4:$C$103,3,FALSE),""))</f>
        <v/>
      </c>
      <c r="G54" s="10">
        <f>IF(OR($A54="",$F54=""),"",IF($F54=0,IF($E54&gt;0,1,0),IFERROR($E54/$F54,"")))</f>
        <v/>
      </c>
      <c r="H54" s="11">
        <f>IF($A54="","",IF(OR($C54="",$F54=""),"Enter capacity",IF(OR(AND($B54&gt;0,$B54&gt;=$C54),AND($E54&gt;0,$E54&gt;=$F54)),"Over capacity",IF(OR($D54&gt;=Assumptions!$B$7,$G54&gt;=Assumptions!$B$7),"Check near limit","Within capacity"))))</f>
        <v/>
      </c>
    </row>
    <row r="55">
      <c r="A55" s="12">
        <f>IF(48&lt;=Assumptions!$B$6,Assumptions!$B$5+7*(48-1),"")</f>
        <v/>
      </c>
      <c r="B55" s="13">
        <f>IF($A55="","",SUMIFS(Bookings!$J$4:$J$103,Bookings!$B$4:$B$103,$A55))</f>
        <v/>
      </c>
      <c r="C55" s="13">
        <f>IF($A55="","",IFERROR(VLOOKUP($A55,Capacity!$A$4:$C$103,2,FALSE),""))</f>
        <v/>
      </c>
      <c r="D55" s="14">
        <f>IF(OR($A55="",$C55=""),"",IF($C55=0,IF($B55&gt;0,1,0),IFERROR($B55/$C55,"")))</f>
        <v/>
      </c>
      <c r="E55" s="13">
        <f>IF($A55="","",SUMIFS(Bookings!$K$4:$K$103,Bookings!$B$4:$B$103,$A55))</f>
        <v/>
      </c>
      <c r="F55" s="13">
        <f>IF($A55="","",IFERROR(VLOOKUP($A55,Capacity!$A$4:$C$103,3,FALSE),""))</f>
        <v/>
      </c>
      <c r="G55" s="14">
        <f>IF(OR($A55="",$F55=""),"",IF($F55=0,IF($E55&gt;0,1,0),IFERROR($E55/$F55,"")))</f>
        <v/>
      </c>
      <c r="H55" s="15">
        <f>IF($A55="","",IF(OR($C55="",$F55=""),"Enter capacity",IF(OR(AND($B55&gt;0,$B55&gt;=$C55),AND($E55&gt;0,$E55&gt;=$F55)),"Over capacity",IF(OR($D55&gt;=Assumptions!$B$7,$G55&gt;=Assumptions!$B$7),"Check near limit","Within capacity"))))</f>
        <v/>
      </c>
    </row>
    <row r="56">
      <c r="A56" s="8">
        <f>IF(49&lt;=Assumptions!$B$6,Assumptions!$B$5+7*(49-1),"")</f>
        <v/>
      </c>
      <c r="B56" s="9">
        <f>IF($A56="","",SUMIFS(Bookings!$J$4:$J$103,Bookings!$B$4:$B$103,$A56))</f>
        <v/>
      </c>
      <c r="C56" s="9">
        <f>IF($A56="","",IFERROR(VLOOKUP($A56,Capacity!$A$4:$C$103,2,FALSE),""))</f>
        <v/>
      </c>
      <c r="D56" s="10">
        <f>IF(OR($A56="",$C56=""),"",IF($C56=0,IF($B56&gt;0,1,0),IFERROR($B56/$C56,"")))</f>
        <v/>
      </c>
      <c r="E56" s="9">
        <f>IF($A56="","",SUMIFS(Bookings!$K$4:$K$103,Bookings!$B$4:$B$103,$A56))</f>
        <v/>
      </c>
      <c r="F56" s="9">
        <f>IF($A56="","",IFERROR(VLOOKUP($A56,Capacity!$A$4:$C$103,3,FALSE),""))</f>
        <v/>
      </c>
      <c r="G56" s="10">
        <f>IF(OR($A56="",$F56=""),"",IF($F56=0,IF($E56&gt;0,1,0),IFERROR($E56/$F56,"")))</f>
        <v/>
      </c>
      <c r="H56" s="11">
        <f>IF($A56="","",IF(OR($C56="",$F56=""),"Enter capacity",IF(OR(AND($B56&gt;0,$B56&gt;=$C56),AND($E56&gt;0,$E56&gt;=$F56)),"Over capacity",IF(OR($D56&gt;=Assumptions!$B$7,$G56&gt;=Assumptions!$B$7),"Check near limit","Within capacity"))))</f>
        <v/>
      </c>
    </row>
    <row r="57">
      <c r="A57" s="12">
        <f>IF(50&lt;=Assumptions!$B$6,Assumptions!$B$5+7*(50-1),"")</f>
        <v/>
      </c>
      <c r="B57" s="13">
        <f>IF($A57="","",SUMIFS(Bookings!$J$4:$J$103,Bookings!$B$4:$B$103,$A57))</f>
        <v/>
      </c>
      <c r="C57" s="13">
        <f>IF($A57="","",IFERROR(VLOOKUP($A57,Capacity!$A$4:$C$103,2,FALSE),""))</f>
        <v/>
      </c>
      <c r="D57" s="14">
        <f>IF(OR($A57="",$C57=""),"",IF($C57=0,IF($B57&gt;0,1,0),IFERROR($B57/$C57,"")))</f>
        <v/>
      </c>
      <c r="E57" s="13">
        <f>IF($A57="","",SUMIFS(Bookings!$K$4:$K$103,Bookings!$B$4:$B$103,$A57))</f>
        <v/>
      </c>
      <c r="F57" s="13">
        <f>IF($A57="","",IFERROR(VLOOKUP($A57,Capacity!$A$4:$C$103,3,FALSE),""))</f>
        <v/>
      </c>
      <c r="G57" s="14">
        <f>IF(OR($A57="",$F57=""),"",IF($F57=0,IF($E57&gt;0,1,0),IFERROR($E57/$F57,"")))</f>
        <v/>
      </c>
      <c r="H57" s="15">
        <f>IF($A57="","",IF(OR($C57="",$F57=""),"Enter capacity",IF(OR(AND($B57&gt;0,$B57&gt;=$C57),AND($E57&gt;0,$E57&gt;=$F57)),"Over capacity",IF(OR($D57&gt;=Assumptions!$B$7,$G57&gt;=Assumptions!$B$7),"Check near limit","Within capacity"))))</f>
        <v/>
      </c>
    </row>
    <row r="58">
      <c r="A58" s="8">
        <f>IF(51&lt;=Assumptions!$B$6,Assumptions!$B$5+7*(51-1),"")</f>
        <v/>
      </c>
      <c r="B58" s="9">
        <f>IF($A58="","",SUMIFS(Bookings!$J$4:$J$103,Bookings!$B$4:$B$103,$A58))</f>
        <v/>
      </c>
      <c r="C58" s="9">
        <f>IF($A58="","",IFERROR(VLOOKUP($A58,Capacity!$A$4:$C$103,2,FALSE),""))</f>
        <v/>
      </c>
      <c r="D58" s="10">
        <f>IF(OR($A58="",$C58=""),"",IF($C58=0,IF($B58&gt;0,1,0),IFERROR($B58/$C58,"")))</f>
        <v/>
      </c>
      <c r="E58" s="9">
        <f>IF($A58="","",SUMIFS(Bookings!$K$4:$K$103,Bookings!$B$4:$B$103,$A58))</f>
        <v/>
      </c>
      <c r="F58" s="9">
        <f>IF($A58="","",IFERROR(VLOOKUP($A58,Capacity!$A$4:$C$103,3,FALSE),""))</f>
        <v/>
      </c>
      <c r="G58" s="10">
        <f>IF(OR($A58="",$F58=""),"",IF($F58=0,IF($E58&gt;0,1,0),IFERROR($E58/$F58,"")))</f>
        <v/>
      </c>
      <c r="H58" s="11">
        <f>IF($A58="","",IF(OR($C58="",$F58=""),"Enter capacity",IF(OR(AND($B58&gt;0,$B58&gt;=$C58),AND($E58&gt;0,$E58&gt;=$F58)),"Over capacity",IF(OR($D58&gt;=Assumptions!$B$7,$G58&gt;=Assumptions!$B$7),"Check near limit","Within capacity"))))</f>
        <v/>
      </c>
    </row>
    <row r="59">
      <c r="A59" s="12">
        <f>IF(52&lt;=Assumptions!$B$6,Assumptions!$B$5+7*(52-1),"")</f>
        <v/>
      </c>
      <c r="B59" s="13">
        <f>IF($A59="","",SUMIFS(Bookings!$J$4:$J$103,Bookings!$B$4:$B$103,$A59))</f>
        <v/>
      </c>
      <c r="C59" s="13">
        <f>IF($A59="","",IFERROR(VLOOKUP($A59,Capacity!$A$4:$C$103,2,FALSE),""))</f>
        <v/>
      </c>
      <c r="D59" s="14">
        <f>IF(OR($A59="",$C59=""),"",IF($C59=0,IF($B59&gt;0,1,0),IFERROR($B59/$C59,"")))</f>
        <v/>
      </c>
      <c r="E59" s="13">
        <f>IF($A59="","",SUMIFS(Bookings!$K$4:$K$103,Bookings!$B$4:$B$103,$A59))</f>
        <v/>
      </c>
      <c r="F59" s="13">
        <f>IF($A59="","",IFERROR(VLOOKUP($A59,Capacity!$A$4:$C$103,3,FALSE),""))</f>
        <v/>
      </c>
      <c r="G59" s="14">
        <f>IF(OR($A59="",$F59=""),"",IF($F59=0,IF($E59&gt;0,1,0),IFERROR($E59/$F59,"")))</f>
        <v/>
      </c>
      <c r="H59" s="15">
        <f>IF($A59="","",IF(OR($C59="",$F59=""),"Enter capacity",IF(OR(AND($B59&gt;0,$B59&gt;=$C59),AND($E59&gt;0,$E59&gt;=$F59)),"Over capacity",IF(OR($D59&gt;=Assumptions!$B$7,$G59&gt;=Assumptions!$B$7),"Check near limit","Within capacity"))))</f>
        <v/>
      </c>
    </row>
  </sheetData>
  <autoFilter ref="A7:H59"/>
  <mergeCells count="1">
    <mergeCell ref="A1:H1"/>
  </mergeCells>
  <conditionalFormatting sqref="D8:D59">
    <cfRule type="expression" priority="1" dxfId="0">
      <formula>AND($A8&lt;&gt;"",$D8&gt;=1)</formula>
    </cfRule>
    <cfRule type="expression" priority="2" dxfId="1">
      <formula>AND($A8&lt;&gt;"",$D8&gt;=INDIRECT("'Assumptions'!$B$7"),$D8&lt;1)</formula>
    </cfRule>
  </conditionalFormatting>
  <conditionalFormatting sqref="G8:G59">
    <cfRule type="expression" priority="3" dxfId="0">
      <formula>AND($A8&lt;&gt;"",$G8&gt;=1)</formula>
    </cfRule>
    <cfRule type="expression" priority="4" dxfId="1">
      <formula>AND($A8&lt;&gt;"",$G8&gt;=INDIRECT("'Assumptions'!$B$7"),$G8&lt;1)</formula>
    </cfRule>
  </conditionalFormatting>
  <conditionalFormatting sqref="H8:H59">
    <cfRule type="expression" priority="5" dxfId="2">
      <formula>$H8="Within capacity"</formula>
    </cfRule>
    <cfRule type="expression" priority="6" dxfId="0">
      <formula>$H8="Over capacity"</formula>
    </cfRule>
    <cfRule type="expression" priority="7" dxfId="1">
      <formula>OR($H8="Check near limit",$H8="Enter capacity")</formula>
    </cfRule>
  </conditionalFormatting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tabColor rgb="00A93F2C"/>
    <outlinePr summaryBelow="1" summaryRight="1"/>
    <pageSetUpPr fitToPage="1"/>
  </sheetPr>
  <dimension ref="A1:L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8" customWidth="1" min="3" max="3"/>
    <col width="27" customWidth="1" min="4" max="4"/>
    <col width="15" customWidth="1" min="5" max="5"/>
    <col width="20" customWidth="1" min="6" max="6"/>
    <col width="22" customWidth="1" min="7" max="7"/>
    <col width="22" customWidth="1" min="8" max="8"/>
    <col width="13" customWidth="1" min="9" max="9"/>
    <col width="20" customWidth="1" min="10" max="10"/>
    <col width="22" customWidth="1" min="11" max="11"/>
    <col width="34" customWidth="1" min="12" max="12"/>
  </cols>
  <sheetData>
    <row r="1" ht="28" customHeight="1">
      <c r="A1" s="1" t="inlineStr">
        <is>
          <t>Booking Forecast Inputs</t>
        </is>
      </c>
    </row>
    <row r="2" ht="22" customHeight="1">
      <c r="A2" s="2" t="inlineStr">
        <is>
          <t>Yellow cells are editable. Counted hours apply the status factor entered on the Assumptions sheet.</t>
        </is>
      </c>
    </row>
    <row r="3">
      <c r="A3" s="7" t="inlineStr">
        <is>
          <t>Booking ID</t>
        </is>
      </c>
      <c r="B3" s="7" t="inlineStr">
        <is>
          <t>Week Start</t>
        </is>
      </c>
      <c r="C3" s="7" t="inlineStr">
        <is>
          <t>Service Type</t>
        </is>
      </c>
      <c r="D3" s="7" t="inlineStr">
        <is>
          <t>Client Alias</t>
        </is>
      </c>
      <c r="E3" s="7" t="inlineStr">
        <is>
          <t>Pet Alias</t>
        </is>
      </c>
      <c r="F3" s="7" t="inlineStr">
        <is>
          <t>Forecast Staff Hours</t>
        </is>
      </c>
      <c r="G3" s="7" t="inlineStr">
        <is>
          <t>Forecast Facility Hours</t>
        </is>
      </c>
      <c r="H3" s="7" t="inlineStr">
        <is>
          <t>Assigned Team</t>
        </is>
      </c>
      <c r="I3" s="7" t="inlineStr">
        <is>
          <t>Status</t>
        </is>
      </c>
      <c r="J3" s="7" t="inlineStr">
        <is>
          <t>Counted Staff Hours</t>
        </is>
      </c>
      <c r="K3" s="7" t="inlineStr">
        <is>
          <t>Counted Facility Hours</t>
        </is>
      </c>
      <c r="L3" s="7" t="inlineStr">
        <is>
          <t>Planning Note</t>
        </is>
      </c>
    </row>
    <row r="4">
      <c r="A4" s="16" t="inlineStr">
        <is>
          <t>BK-001</t>
        </is>
      </c>
      <c r="B4" s="17" t="n">
        <v>46272</v>
      </c>
      <c r="C4" s="16" t="inlineStr">
        <is>
          <t>Grooming</t>
        </is>
      </c>
      <c r="D4" s="18" t="inlineStr">
        <is>
          <t>Fictional Acorn Household</t>
        </is>
      </c>
      <c r="E4" s="18" t="inlineStr">
        <is>
          <t>Fable</t>
        </is>
      </c>
      <c r="F4" s="19" t="n">
        <v>8</v>
      </c>
      <c r="G4" s="19" t="n">
        <v>3</v>
      </c>
      <c r="H4" s="16" t="inlineStr">
        <is>
          <t>Fictional Team Maple</t>
        </is>
      </c>
      <c r="I4" s="16" t="inlineStr">
        <is>
          <t>Confirmed</t>
        </is>
      </c>
      <c r="J4" s="9">
        <f>IF(OR($A4="",$B4="",$F4="",$I4=""),"",IFERROR($F4*VLOOKUP($I4,Assumptions!$H$5:$I$8,2,FALSE),""))</f>
        <v/>
      </c>
      <c r="K4" s="9">
        <f>IF(OR($A4="",$B4="",$G4="",$I4=""),"",IFERROR($G4*VLOOKUP($I4,Assumptions!$H$5:$I$8,2,FALSE),""))</f>
        <v/>
      </c>
      <c r="L4" s="18" t="inlineStr">
        <is>
          <t>Routine weekly planning estimate.</t>
        </is>
      </c>
    </row>
    <row r="5">
      <c r="A5" s="16" t="inlineStr">
        <is>
          <t>BK-002</t>
        </is>
      </c>
      <c r="B5" s="17" t="n">
        <v>46272</v>
      </c>
      <c r="C5" s="16" t="inlineStr">
        <is>
          <t>Daycare</t>
        </is>
      </c>
      <c r="D5" s="18" t="inlineStr">
        <is>
          <t>Fictional Birch Household</t>
        </is>
      </c>
      <c r="E5" s="18" t="inlineStr">
        <is>
          <t>Mosaic</t>
        </is>
      </c>
      <c r="F5" s="19" t="n">
        <v>18</v>
      </c>
      <c r="G5" s="19" t="n">
        <v>18</v>
      </c>
      <c r="H5" s="16" t="inlineStr">
        <is>
          <t>Fictional Team Cedar</t>
        </is>
      </c>
      <c r="I5" s="16" t="inlineStr">
        <is>
          <t>Planned</t>
        </is>
      </c>
      <c r="J5" s="13">
        <f>IF(OR($A5="",$B5="",$F5="",$I5=""),"",IFERROR($F5*VLOOKUP($I5,Assumptions!$H$5:$I$8,2,FALSE),""))</f>
        <v/>
      </c>
      <c r="K5" s="13">
        <f>IF(OR($A5="",$B5="",$G5="",$I5=""),"",IFERROR($G5*VLOOKUP($I5,Assumptions!$H$5:$I$8,2,FALSE),""))</f>
        <v/>
      </c>
      <c r="L5" s="18" t="inlineStr">
        <is>
          <t>Draft attendance forecast.</t>
        </is>
      </c>
    </row>
    <row r="6">
      <c r="A6" s="16" t="inlineStr">
        <is>
          <t>BK-003</t>
        </is>
      </c>
      <c r="B6" s="17" t="n">
        <v>46279</v>
      </c>
      <c r="C6" s="16" t="inlineStr">
        <is>
          <t>Boarding Care</t>
        </is>
      </c>
      <c r="D6" s="18" t="inlineStr">
        <is>
          <t>Fictional Comet Household</t>
        </is>
      </c>
      <c r="E6" s="18" t="inlineStr">
        <is>
          <t>Puddle</t>
        </is>
      </c>
      <c r="F6" s="19" t="n">
        <v>12</v>
      </c>
      <c r="G6" s="19" t="n">
        <v>42</v>
      </c>
      <c r="H6" s="16" t="inlineStr">
        <is>
          <t>Fictional Team Birch</t>
        </is>
      </c>
      <c r="I6" s="16" t="inlineStr">
        <is>
          <t>Confirmed</t>
        </is>
      </c>
      <c r="J6" s="9">
        <f>IF(OR($A6="",$B6="",$F6="",$I6=""),"",IFERROR($F6*VLOOKUP($I6,Assumptions!$H$5:$I$8,2,FALSE),""))</f>
        <v/>
      </c>
      <c r="K6" s="9">
        <f>IF(OR($A6="",$B6="",$G6="",$I6=""),"",IFERROR($G6*VLOOKUP($I6,Assumptions!$H$5:$I$8,2,FALSE),""))</f>
        <v/>
      </c>
      <c r="L6" s="18" t="inlineStr">
        <is>
          <t>Facility occupancy estimate.</t>
        </is>
      </c>
    </row>
    <row r="7">
      <c r="A7" s="16" t="inlineStr">
        <is>
          <t>BK-004</t>
        </is>
      </c>
      <c r="B7" s="17" t="n">
        <v>46279</v>
      </c>
      <c r="C7" s="16" t="inlineStr">
        <is>
          <t>Dog Walking</t>
        </is>
      </c>
      <c r="D7" s="18" t="inlineStr">
        <is>
          <t>Fictional Dandelion Household</t>
        </is>
      </c>
      <c r="E7" s="18" t="inlineStr">
        <is>
          <t>Quill</t>
        </is>
      </c>
      <c r="F7" s="19" t="n">
        <v>6</v>
      </c>
      <c r="G7" s="19" t="n">
        <v>0</v>
      </c>
      <c r="H7" s="16" t="inlineStr">
        <is>
          <t>Fictional Team Maple</t>
        </is>
      </c>
      <c r="I7" s="16" t="inlineStr">
        <is>
          <t>On Hold</t>
        </is>
      </c>
      <c r="J7" s="13">
        <f>IF(OR($A7="",$B7="",$F7="",$I7=""),"",IFERROR($F7*VLOOKUP($I7,Assumptions!$H$5:$I$8,2,FALSE),""))</f>
        <v/>
      </c>
      <c r="K7" s="13">
        <f>IF(OR($A7="",$B7="",$G7="",$I7=""),"",IFERROR($G7*VLOOKUP($I7,Assumptions!$H$5:$I$8,2,FALSE),""))</f>
        <v/>
      </c>
      <c r="L7" s="18" t="inlineStr">
        <is>
          <t>Half weight is applied by status factor.</t>
        </is>
      </c>
    </row>
    <row r="8">
      <c r="A8" s="16" t="inlineStr">
        <is>
          <t>BK-005</t>
        </is>
      </c>
      <c r="B8" s="17" t="n">
        <v>46286</v>
      </c>
      <c r="C8" s="16" t="inlineStr">
        <is>
          <t>Grooming</t>
        </is>
      </c>
      <c r="D8" s="18" t="inlineStr">
        <is>
          <t>Fictional Ember Household</t>
        </is>
      </c>
      <c r="E8" s="18" t="inlineStr">
        <is>
          <t>Sprout</t>
        </is>
      </c>
      <c r="F8" s="19" t="n">
        <v>14</v>
      </c>
      <c r="G8" s="19" t="n">
        <v>5</v>
      </c>
      <c r="H8" s="16" t="inlineStr">
        <is>
          <t>Fictional Team Cedar</t>
        </is>
      </c>
      <c r="I8" s="16" t="inlineStr">
        <is>
          <t>Confirmed</t>
        </is>
      </c>
      <c r="J8" s="9">
        <f>IF(OR($A8="",$B8="",$F8="",$I8=""),"",IFERROR($F8*VLOOKUP($I8,Assumptions!$H$5:$I$8,2,FALSE),""))</f>
        <v/>
      </c>
      <c r="K8" s="9">
        <f>IF(OR($A8="",$B8="",$G8="",$I8=""),"",IFERROR($G8*VLOOKUP($I8,Assumptions!$H$5:$I$8,2,FALSE),""))</f>
        <v/>
      </c>
      <c r="L8" s="18" t="inlineStr">
        <is>
          <t>Longer grooming block forecast.</t>
        </is>
      </c>
    </row>
    <row r="9">
      <c r="A9" s="16" t="inlineStr">
        <is>
          <t>BK-006</t>
        </is>
      </c>
      <c r="B9" s="17" t="n">
        <v>46286</v>
      </c>
      <c r="C9" s="16" t="inlineStr">
        <is>
          <t>Daycare</t>
        </is>
      </c>
      <c r="D9" s="18" t="inlineStr">
        <is>
          <t>Fictional Fern Household</t>
        </is>
      </c>
      <c r="E9" s="18" t="inlineStr">
        <is>
          <t>Tumble</t>
        </is>
      </c>
      <c r="F9" s="19" t="n">
        <v>22</v>
      </c>
      <c r="G9" s="19" t="n">
        <v>22</v>
      </c>
      <c r="H9" s="16" t="inlineStr">
        <is>
          <t>Fictional Team Birch</t>
        </is>
      </c>
      <c r="I9" s="16" t="inlineStr">
        <is>
          <t>Planned</t>
        </is>
      </c>
      <c r="J9" s="13">
        <f>IF(OR($A9="",$B9="",$F9="",$I9=""),"",IFERROR($F9*VLOOKUP($I9,Assumptions!$H$5:$I$8,2,FALSE),""))</f>
        <v/>
      </c>
      <c r="K9" s="13">
        <f>IF(OR($A9="",$B9="",$G9="",$I9=""),"",IFERROR($G9*VLOOKUP($I9,Assumptions!$H$5:$I$8,2,FALSE),""))</f>
        <v/>
      </c>
      <c r="L9" s="18" t="inlineStr">
        <is>
          <t>Busy-week planning example.</t>
        </is>
      </c>
    </row>
    <row r="10">
      <c r="A10" s="16" t="inlineStr">
        <is>
          <t>BK-007</t>
        </is>
      </c>
      <c r="B10" s="17" t="n">
        <v>46293</v>
      </c>
      <c r="C10" s="16" t="inlineStr">
        <is>
          <t>Pet Sitting</t>
        </is>
      </c>
      <c r="D10" s="18" t="inlineStr">
        <is>
          <t>Fictional Glimmer Household</t>
        </is>
      </c>
      <c r="E10" s="18" t="inlineStr">
        <is>
          <t>Waffle</t>
        </is>
      </c>
      <c r="F10" s="19" t="n">
        <v>10</v>
      </c>
      <c r="G10" s="19" t="n">
        <v>0</v>
      </c>
      <c r="H10" s="16" t="inlineStr">
        <is>
          <t>Fictional Team Maple</t>
        </is>
      </c>
      <c r="I10" s="16" t="inlineStr">
        <is>
          <t>Confirmed</t>
        </is>
      </c>
      <c r="J10" s="9">
        <f>IF(OR($A10="",$B10="",$F10="",$I10=""),"",IFERROR($F10*VLOOKUP($I10,Assumptions!$H$5:$I$8,2,FALSE),""))</f>
        <v/>
      </c>
      <c r="K10" s="9">
        <f>IF(OR($A10="",$B10="",$G10="",$I10=""),"",IFERROR($G10*VLOOKUP($I10,Assumptions!$H$5:$I$8,2,FALSE),""))</f>
        <v/>
      </c>
      <c r="L10" s="18" t="inlineStr">
        <is>
          <t>Off-site service forecast.</t>
        </is>
      </c>
    </row>
    <row r="11">
      <c r="A11" s="16" t="inlineStr">
        <is>
          <t>BK-008</t>
        </is>
      </c>
      <c r="B11" s="17" t="n">
        <v>46300</v>
      </c>
      <c r="C11" s="16" t="inlineStr">
        <is>
          <t>Boarding Care</t>
        </is>
      </c>
      <c r="D11" s="18" t="inlineStr">
        <is>
          <t>Fictional Harbor Household</t>
        </is>
      </c>
      <c r="E11" s="18" t="inlineStr">
        <is>
          <t>Yonder</t>
        </is>
      </c>
      <c r="F11" s="19" t="n">
        <v>10</v>
      </c>
      <c r="G11" s="19" t="n">
        <v>48</v>
      </c>
      <c r="H11" s="16" t="inlineStr">
        <is>
          <t>Fictional Team Cedar</t>
        </is>
      </c>
      <c r="I11" s="16" t="inlineStr">
        <is>
          <t>Canceled</t>
        </is>
      </c>
      <c r="J11" s="13">
        <f>IF(OR($A11="",$B11="",$F11="",$I11=""),"",IFERROR($F11*VLOOKUP($I11,Assumptions!$H$5:$I$8,2,FALSE),""))</f>
        <v/>
      </c>
      <c r="K11" s="13">
        <f>IF(OR($A11="",$B11="",$G11="",$I11=""),"",IFERROR($G11*VLOOKUP($I11,Assumptions!$H$5:$I$8,2,FALSE),""))</f>
        <v/>
      </c>
      <c r="L11" s="18" t="inlineStr">
        <is>
          <t>Canceled example contributes no counted hours.</t>
        </is>
      </c>
    </row>
    <row r="12">
      <c r="A12" s="16" t="inlineStr">
        <is>
          <t>BK-009</t>
        </is>
      </c>
      <c r="B12" s="17" t="n">
        <v>46300</v>
      </c>
      <c r="C12" s="16" t="inlineStr">
        <is>
          <t>Dog Walking</t>
        </is>
      </c>
      <c r="D12" s="18" t="inlineStr">
        <is>
          <t>Fictional Juniper Household</t>
        </is>
      </c>
      <c r="E12" s="18" t="inlineStr">
        <is>
          <t>Zigzag</t>
        </is>
      </c>
      <c r="F12" s="19" t="n">
        <v>4</v>
      </c>
      <c r="G12" s="19" t="n">
        <v>0</v>
      </c>
      <c r="H12" s="16" t="inlineStr">
        <is>
          <t>Fictional Team Birch</t>
        </is>
      </c>
      <c r="I12" s="16" t="inlineStr">
        <is>
          <t>Planned</t>
        </is>
      </c>
      <c r="J12" s="9">
        <f>IF(OR($A12="",$B12="",$F12="",$I12=""),"",IFERROR($F12*VLOOKUP($I12,Assumptions!$H$5:$I$8,2,FALSE),""))</f>
        <v/>
      </c>
      <c r="K12" s="9">
        <f>IF(OR($A12="",$B12="",$G12="",$I12=""),"",IFERROR($G12*VLOOKUP($I12,Assumptions!$H$5:$I$8,2,FALSE),""))</f>
        <v/>
      </c>
      <c r="L12" s="18" t="inlineStr">
        <is>
          <t>Tests a zero staff-capacity week.</t>
        </is>
      </c>
    </row>
    <row r="13">
      <c r="A13" s="16" t="inlineStr">
        <is>
          <t>BK-010</t>
        </is>
      </c>
      <c r="B13" s="17" t="n">
        <v>46321</v>
      </c>
      <c r="C13" s="16" t="inlineStr">
        <is>
          <t>Grooming</t>
        </is>
      </c>
      <c r="D13" s="18" t="inlineStr">
        <is>
          <t>Fictional Kite Household</t>
        </is>
      </c>
      <c r="E13" s="18" t="inlineStr">
        <is>
          <t>Bramble</t>
        </is>
      </c>
      <c r="F13" s="19" t="n">
        <v>12</v>
      </c>
      <c r="G13" s="19" t="n">
        <v>4</v>
      </c>
      <c r="H13" s="16" t="inlineStr">
        <is>
          <t>Fictional Team Maple</t>
        </is>
      </c>
      <c r="I13" s="16" t="inlineStr">
        <is>
          <t>On Hold</t>
        </is>
      </c>
      <c r="J13" s="13">
        <f>IF(OR($A13="",$B13="",$F13="",$I13=""),"",IFERROR($F13*VLOOKUP($I13,Assumptions!$H$5:$I$8,2,FALSE),""))</f>
        <v/>
      </c>
      <c r="K13" s="13">
        <f>IF(OR($A13="",$B13="",$G13="",$I13=""),"",IFERROR($G13*VLOOKUP($I13,Assumptions!$H$5:$I$8,2,FALSE),""))</f>
        <v/>
      </c>
      <c r="L13" s="18" t="inlineStr">
        <is>
          <t>Tests the exact staff-capacity boundary.</t>
        </is>
      </c>
    </row>
    <row r="14">
      <c r="A14" s="16" t="n"/>
      <c r="B14" s="17" t="n"/>
      <c r="C14" s="16" t="n"/>
      <c r="D14" s="18" t="n"/>
      <c r="E14" s="18" t="n"/>
      <c r="F14" s="19" t="n"/>
      <c r="G14" s="19" t="n"/>
      <c r="H14" s="16" t="n"/>
      <c r="I14" s="16" t="n"/>
      <c r="J14" s="9">
        <f>IF(OR($A14="",$B14="",$F14="",$I14=""),"",IFERROR($F14*VLOOKUP($I14,Assumptions!$H$5:$I$8,2,FALSE),""))</f>
        <v/>
      </c>
      <c r="K14" s="9">
        <f>IF(OR($A14="",$B14="",$G14="",$I14=""),"",IFERROR($G14*VLOOKUP($I14,Assumptions!$H$5:$I$8,2,FALSE),""))</f>
        <v/>
      </c>
      <c r="L14" s="18" t="n"/>
    </row>
    <row r="15">
      <c r="A15" s="16" t="n"/>
      <c r="B15" s="17" t="n"/>
      <c r="C15" s="16" t="n"/>
      <c r="D15" s="18" t="n"/>
      <c r="E15" s="18" t="n"/>
      <c r="F15" s="19" t="n"/>
      <c r="G15" s="19" t="n"/>
      <c r="H15" s="16" t="n"/>
      <c r="I15" s="16" t="n"/>
      <c r="J15" s="13">
        <f>IF(OR($A15="",$B15="",$F15="",$I15=""),"",IFERROR($F15*VLOOKUP($I15,Assumptions!$H$5:$I$8,2,FALSE),""))</f>
        <v/>
      </c>
      <c r="K15" s="13">
        <f>IF(OR($A15="",$B15="",$G15="",$I15=""),"",IFERROR($G15*VLOOKUP($I15,Assumptions!$H$5:$I$8,2,FALSE),""))</f>
        <v/>
      </c>
      <c r="L15" s="18" t="n"/>
    </row>
    <row r="16">
      <c r="A16" s="16" t="n"/>
      <c r="B16" s="17" t="n"/>
      <c r="C16" s="16" t="n"/>
      <c r="D16" s="18" t="n"/>
      <c r="E16" s="18" t="n"/>
      <c r="F16" s="19" t="n"/>
      <c r="G16" s="19" t="n"/>
      <c r="H16" s="16" t="n"/>
      <c r="I16" s="16" t="n"/>
      <c r="J16" s="9">
        <f>IF(OR($A16="",$B16="",$F16="",$I16=""),"",IFERROR($F16*VLOOKUP($I16,Assumptions!$H$5:$I$8,2,FALSE),""))</f>
        <v/>
      </c>
      <c r="K16" s="9">
        <f>IF(OR($A16="",$B16="",$G16="",$I16=""),"",IFERROR($G16*VLOOKUP($I16,Assumptions!$H$5:$I$8,2,FALSE),""))</f>
        <v/>
      </c>
      <c r="L16" s="18" t="n"/>
    </row>
    <row r="17">
      <c r="A17" s="16" t="n"/>
      <c r="B17" s="17" t="n"/>
      <c r="C17" s="16" t="n"/>
      <c r="D17" s="18" t="n"/>
      <c r="E17" s="18" t="n"/>
      <c r="F17" s="19" t="n"/>
      <c r="G17" s="19" t="n"/>
      <c r="H17" s="16" t="n"/>
      <c r="I17" s="16" t="n"/>
      <c r="J17" s="13">
        <f>IF(OR($A17="",$B17="",$F17="",$I17=""),"",IFERROR($F17*VLOOKUP($I17,Assumptions!$H$5:$I$8,2,FALSE),""))</f>
        <v/>
      </c>
      <c r="K17" s="13">
        <f>IF(OR($A17="",$B17="",$G17="",$I17=""),"",IFERROR($G17*VLOOKUP($I17,Assumptions!$H$5:$I$8,2,FALSE),""))</f>
        <v/>
      </c>
      <c r="L17" s="18" t="n"/>
    </row>
    <row r="18">
      <c r="A18" s="16" t="n"/>
      <c r="B18" s="17" t="n"/>
      <c r="C18" s="16" t="n"/>
      <c r="D18" s="18" t="n"/>
      <c r="E18" s="18" t="n"/>
      <c r="F18" s="19" t="n"/>
      <c r="G18" s="19" t="n"/>
      <c r="H18" s="16" t="n"/>
      <c r="I18" s="16" t="n"/>
      <c r="J18" s="9">
        <f>IF(OR($A18="",$B18="",$F18="",$I18=""),"",IFERROR($F18*VLOOKUP($I18,Assumptions!$H$5:$I$8,2,FALSE),""))</f>
        <v/>
      </c>
      <c r="K18" s="9">
        <f>IF(OR($A18="",$B18="",$G18="",$I18=""),"",IFERROR($G18*VLOOKUP($I18,Assumptions!$H$5:$I$8,2,FALSE),""))</f>
        <v/>
      </c>
      <c r="L18" s="18" t="n"/>
    </row>
    <row r="19">
      <c r="A19" s="16" t="n"/>
      <c r="B19" s="17" t="n"/>
      <c r="C19" s="16" t="n"/>
      <c r="D19" s="18" t="n"/>
      <c r="E19" s="18" t="n"/>
      <c r="F19" s="19" t="n"/>
      <c r="G19" s="19" t="n"/>
      <c r="H19" s="16" t="n"/>
      <c r="I19" s="16" t="n"/>
      <c r="J19" s="13">
        <f>IF(OR($A19="",$B19="",$F19="",$I19=""),"",IFERROR($F19*VLOOKUP($I19,Assumptions!$H$5:$I$8,2,FALSE),""))</f>
        <v/>
      </c>
      <c r="K19" s="13">
        <f>IF(OR($A19="",$B19="",$G19="",$I19=""),"",IFERROR($G19*VLOOKUP($I19,Assumptions!$H$5:$I$8,2,FALSE),""))</f>
        <v/>
      </c>
      <c r="L19" s="18" t="n"/>
    </row>
    <row r="20">
      <c r="A20" s="16" t="n"/>
      <c r="B20" s="17" t="n"/>
      <c r="C20" s="16" t="n"/>
      <c r="D20" s="18" t="n"/>
      <c r="E20" s="18" t="n"/>
      <c r="F20" s="19" t="n"/>
      <c r="G20" s="19" t="n"/>
      <c r="H20" s="16" t="n"/>
      <c r="I20" s="16" t="n"/>
      <c r="J20" s="9">
        <f>IF(OR($A20="",$B20="",$F20="",$I20=""),"",IFERROR($F20*VLOOKUP($I20,Assumptions!$H$5:$I$8,2,FALSE),""))</f>
        <v/>
      </c>
      <c r="K20" s="9">
        <f>IF(OR($A20="",$B20="",$G20="",$I20=""),"",IFERROR($G20*VLOOKUP($I20,Assumptions!$H$5:$I$8,2,FALSE),""))</f>
        <v/>
      </c>
      <c r="L20" s="18" t="n"/>
    </row>
    <row r="21">
      <c r="A21" s="16" t="n"/>
      <c r="B21" s="17" t="n"/>
      <c r="C21" s="16" t="n"/>
      <c r="D21" s="18" t="n"/>
      <c r="E21" s="18" t="n"/>
      <c r="F21" s="19" t="n"/>
      <c r="G21" s="19" t="n"/>
      <c r="H21" s="16" t="n"/>
      <c r="I21" s="16" t="n"/>
      <c r="J21" s="13">
        <f>IF(OR($A21="",$B21="",$F21="",$I21=""),"",IFERROR($F21*VLOOKUP($I21,Assumptions!$H$5:$I$8,2,FALSE),""))</f>
        <v/>
      </c>
      <c r="K21" s="13">
        <f>IF(OR($A21="",$B21="",$G21="",$I21=""),"",IFERROR($G21*VLOOKUP($I21,Assumptions!$H$5:$I$8,2,FALSE),""))</f>
        <v/>
      </c>
      <c r="L21" s="18" t="n"/>
    </row>
    <row r="22">
      <c r="A22" s="16" t="n"/>
      <c r="B22" s="17" t="n"/>
      <c r="C22" s="16" t="n"/>
      <c r="D22" s="18" t="n"/>
      <c r="E22" s="18" t="n"/>
      <c r="F22" s="19" t="n"/>
      <c r="G22" s="19" t="n"/>
      <c r="H22" s="16" t="n"/>
      <c r="I22" s="16" t="n"/>
      <c r="J22" s="9">
        <f>IF(OR($A22="",$B22="",$F22="",$I22=""),"",IFERROR($F22*VLOOKUP($I22,Assumptions!$H$5:$I$8,2,FALSE),""))</f>
        <v/>
      </c>
      <c r="K22" s="9">
        <f>IF(OR($A22="",$B22="",$G22="",$I22=""),"",IFERROR($G22*VLOOKUP($I22,Assumptions!$H$5:$I$8,2,FALSE),""))</f>
        <v/>
      </c>
      <c r="L22" s="18" t="n"/>
    </row>
    <row r="23">
      <c r="A23" s="16" t="n"/>
      <c r="B23" s="17" t="n"/>
      <c r="C23" s="16" t="n"/>
      <c r="D23" s="18" t="n"/>
      <c r="E23" s="18" t="n"/>
      <c r="F23" s="19" t="n"/>
      <c r="G23" s="19" t="n"/>
      <c r="H23" s="16" t="n"/>
      <c r="I23" s="16" t="n"/>
      <c r="J23" s="13">
        <f>IF(OR($A23="",$B23="",$F23="",$I23=""),"",IFERROR($F23*VLOOKUP($I23,Assumptions!$H$5:$I$8,2,FALSE),""))</f>
        <v/>
      </c>
      <c r="K23" s="13">
        <f>IF(OR($A23="",$B23="",$G23="",$I23=""),"",IFERROR($G23*VLOOKUP($I23,Assumptions!$H$5:$I$8,2,FALSE),""))</f>
        <v/>
      </c>
      <c r="L23" s="18" t="n"/>
    </row>
    <row r="24">
      <c r="A24" s="16" t="n"/>
      <c r="B24" s="17" t="n"/>
      <c r="C24" s="16" t="n"/>
      <c r="D24" s="18" t="n"/>
      <c r="E24" s="18" t="n"/>
      <c r="F24" s="19" t="n"/>
      <c r="G24" s="19" t="n"/>
      <c r="H24" s="16" t="n"/>
      <c r="I24" s="16" t="n"/>
      <c r="J24" s="9">
        <f>IF(OR($A24="",$B24="",$F24="",$I24=""),"",IFERROR($F24*VLOOKUP($I24,Assumptions!$H$5:$I$8,2,FALSE),""))</f>
        <v/>
      </c>
      <c r="K24" s="9">
        <f>IF(OR($A24="",$B24="",$G24="",$I24=""),"",IFERROR($G24*VLOOKUP($I24,Assumptions!$H$5:$I$8,2,FALSE),""))</f>
        <v/>
      </c>
      <c r="L24" s="18" t="n"/>
    </row>
    <row r="25">
      <c r="A25" s="16" t="n"/>
      <c r="B25" s="17" t="n"/>
      <c r="C25" s="16" t="n"/>
      <c r="D25" s="18" t="n"/>
      <c r="E25" s="18" t="n"/>
      <c r="F25" s="19" t="n"/>
      <c r="G25" s="19" t="n"/>
      <c r="H25" s="16" t="n"/>
      <c r="I25" s="16" t="n"/>
      <c r="J25" s="13">
        <f>IF(OR($A25="",$B25="",$F25="",$I25=""),"",IFERROR($F25*VLOOKUP($I25,Assumptions!$H$5:$I$8,2,FALSE),""))</f>
        <v/>
      </c>
      <c r="K25" s="13">
        <f>IF(OR($A25="",$B25="",$G25="",$I25=""),"",IFERROR($G25*VLOOKUP($I25,Assumptions!$H$5:$I$8,2,FALSE),""))</f>
        <v/>
      </c>
      <c r="L25" s="18" t="n"/>
    </row>
    <row r="26">
      <c r="A26" s="16" t="n"/>
      <c r="B26" s="17" t="n"/>
      <c r="C26" s="16" t="n"/>
      <c r="D26" s="18" t="n"/>
      <c r="E26" s="18" t="n"/>
      <c r="F26" s="19" t="n"/>
      <c r="G26" s="19" t="n"/>
      <c r="H26" s="16" t="n"/>
      <c r="I26" s="16" t="n"/>
      <c r="J26" s="9">
        <f>IF(OR($A26="",$B26="",$F26="",$I26=""),"",IFERROR($F26*VLOOKUP($I26,Assumptions!$H$5:$I$8,2,FALSE),""))</f>
        <v/>
      </c>
      <c r="K26" s="9">
        <f>IF(OR($A26="",$B26="",$G26="",$I26=""),"",IFERROR($G26*VLOOKUP($I26,Assumptions!$H$5:$I$8,2,FALSE),""))</f>
        <v/>
      </c>
      <c r="L26" s="18" t="n"/>
    </row>
    <row r="27">
      <c r="A27" s="16" t="n"/>
      <c r="B27" s="17" t="n"/>
      <c r="C27" s="16" t="n"/>
      <c r="D27" s="18" t="n"/>
      <c r="E27" s="18" t="n"/>
      <c r="F27" s="19" t="n"/>
      <c r="G27" s="19" t="n"/>
      <c r="H27" s="16" t="n"/>
      <c r="I27" s="16" t="n"/>
      <c r="J27" s="13">
        <f>IF(OR($A27="",$B27="",$F27="",$I27=""),"",IFERROR($F27*VLOOKUP($I27,Assumptions!$H$5:$I$8,2,FALSE),""))</f>
        <v/>
      </c>
      <c r="K27" s="13">
        <f>IF(OR($A27="",$B27="",$G27="",$I27=""),"",IFERROR($G27*VLOOKUP($I27,Assumptions!$H$5:$I$8,2,FALSE),""))</f>
        <v/>
      </c>
      <c r="L27" s="18" t="n"/>
    </row>
    <row r="28">
      <c r="A28" s="16" t="n"/>
      <c r="B28" s="17" t="n"/>
      <c r="C28" s="16" t="n"/>
      <c r="D28" s="18" t="n"/>
      <c r="E28" s="18" t="n"/>
      <c r="F28" s="19" t="n"/>
      <c r="G28" s="19" t="n"/>
      <c r="H28" s="16" t="n"/>
      <c r="I28" s="16" t="n"/>
      <c r="J28" s="9">
        <f>IF(OR($A28="",$B28="",$F28="",$I28=""),"",IFERROR($F28*VLOOKUP($I28,Assumptions!$H$5:$I$8,2,FALSE),""))</f>
        <v/>
      </c>
      <c r="K28" s="9">
        <f>IF(OR($A28="",$B28="",$G28="",$I28=""),"",IFERROR($G28*VLOOKUP($I28,Assumptions!$H$5:$I$8,2,FALSE),""))</f>
        <v/>
      </c>
      <c r="L28" s="18" t="n"/>
    </row>
    <row r="29">
      <c r="A29" s="16" t="n"/>
      <c r="B29" s="17" t="n"/>
      <c r="C29" s="16" t="n"/>
      <c r="D29" s="18" t="n"/>
      <c r="E29" s="18" t="n"/>
      <c r="F29" s="19" t="n"/>
      <c r="G29" s="19" t="n"/>
      <c r="H29" s="16" t="n"/>
      <c r="I29" s="16" t="n"/>
      <c r="J29" s="13">
        <f>IF(OR($A29="",$B29="",$F29="",$I29=""),"",IFERROR($F29*VLOOKUP($I29,Assumptions!$H$5:$I$8,2,FALSE),""))</f>
        <v/>
      </c>
      <c r="K29" s="13">
        <f>IF(OR($A29="",$B29="",$G29="",$I29=""),"",IFERROR($G29*VLOOKUP($I29,Assumptions!$H$5:$I$8,2,FALSE),""))</f>
        <v/>
      </c>
      <c r="L29" s="18" t="n"/>
    </row>
    <row r="30">
      <c r="A30" s="16" t="n"/>
      <c r="B30" s="17" t="n"/>
      <c r="C30" s="16" t="n"/>
      <c r="D30" s="18" t="n"/>
      <c r="E30" s="18" t="n"/>
      <c r="F30" s="19" t="n"/>
      <c r="G30" s="19" t="n"/>
      <c r="H30" s="16" t="n"/>
      <c r="I30" s="16" t="n"/>
      <c r="J30" s="9">
        <f>IF(OR($A30="",$B30="",$F30="",$I30=""),"",IFERROR($F30*VLOOKUP($I30,Assumptions!$H$5:$I$8,2,FALSE),""))</f>
        <v/>
      </c>
      <c r="K30" s="9">
        <f>IF(OR($A30="",$B30="",$G30="",$I30=""),"",IFERROR($G30*VLOOKUP($I30,Assumptions!$H$5:$I$8,2,FALSE),""))</f>
        <v/>
      </c>
      <c r="L30" s="18" t="n"/>
    </row>
    <row r="31">
      <c r="A31" s="16" t="n"/>
      <c r="B31" s="17" t="n"/>
      <c r="C31" s="16" t="n"/>
      <c r="D31" s="18" t="n"/>
      <c r="E31" s="18" t="n"/>
      <c r="F31" s="19" t="n"/>
      <c r="G31" s="19" t="n"/>
      <c r="H31" s="16" t="n"/>
      <c r="I31" s="16" t="n"/>
      <c r="J31" s="13">
        <f>IF(OR($A31="",$B31="",$F31="",$I31=""),"",IFERROR($F31*VLOOKUP($I31,Assumptions!$H$5:$I$8,2,FALSE),""))</f>
        <v/>
      </c>
      <c r="K31" s="13">
        <f>IF(OR($A31="",$B31="",$G31="",$I31=""),"",IFERROR($G31*VLOOKUP($I31,Assumptions!$H$5:$I$8,2,FALSE),""))</f>
        <v/>
      </c>
      <c r="L31" s="18" t="n"/>
    </row>
    <row r="32">
      <c r="A32" s="16" t="n"/>
      <c r="B32" s="17" t="n"/>
      <c r="C32" s="16" t="n"/>
      <c r="D32" s="18" t="n"/>
      <c r="E32" s="18" t="n"/>
      <c r="F32" s="19" t="n"/>
      <c r="G32" s="19" t="n"/>
      <c r="H32" s="16" t="n"/>
      <c r="I32" s="16" t="n"/>
      <c r="J32" s="9">
        <f>IF(OR($A32="",$B32="",$F32="",$I32=""),"",IFERROR($F32*VLOOKUP($I32,Assumptions!$H$5:$I$8,2,FALSE),""))</f>
        <v/>
      </c>
      <c r="K32" s="9">
        <f>IF(OR($A32="",$B32="",$G32="",$I32=""),"",IFERROR($G32*VLOOKUP($I32,Assumptions!$H$5:$I$8,2,FALSE),""))</f>
        <v/>
      </c>
      <c r="L32" s="18" t="n"/>
    </row>
    <row r="33">
      <c r="A33" s="16" t="n"/>
      <c r="B33" s="17" t="n"/>
      <c r="C33" s="16" t="n"/>
      <c r="D33" s="18" t="n"/>
      <c r="E33" s="18" t="n"/>
      <c r="F33" s="19" t="n"/>
      <c r="G33" s="19" t="n"/>
      <c r="H33" s="16" t="n"/>
      <c r="I33" s="16" t="n"/>
      <c r="J33" s="13">
        <f>IF(OR($A33="",$B33="",$F33="",$I33=""),"",IFERROR($F33*VLOOKUP($I33,Assumptions!$H$5:$I$8,2,FALSE),""))</f>
        <v/>
      </c>
      <c r="K33" s="13">
        <f>IF(OR($A33="",$B33="",$G33="",$I33=""),"",IFERROR($G33*VLOOKUP($I33,Assumptions!$H$5:$I$8,2,FALSE),""))</f>
        <v/>
      </c>
      <c r="L33" s="18" t="n"/>
    </row>
    <row r="34">
      <c r="A34" s="16" t="n"/>
      <c r="B34" s="17" t="n"/>
      <c r="C34" s="16" t="n"/>
      <c r="D34" s="18" t="n"/>
      <c r="E34" s="18" t="n"/>
      <c r="F34" s="19" t="n"/>
      <c r="G34" s="19" t="n"/>
      <c r="H34" s="16" t="n"/>
      <c r="I34" s="16" t="n"/>
      <c r="J34" s="9">
        <f>IF(OR($A34="",$B34="",$F34="",$I34=""),"",IFERROR($F34*VLOOKUP($I34,Assumptions!$H$5:$I$8,2,FALSE),""))</f>
        <v/>
      </c>
      <c r="K34" s="9">
        <f>IF(OR($A34="",$B34="",$G34="",$I34=""),"",IFERROR($G34*VLOOKUP($I34,Assumptions!$H$5:$I$8,2,FALSE),""))</f>
        <v/>
      </c>
      <c r="L34" s="18" t="n"/>
    </row>
    <row r="35">
      <c r="A35" s="16" t="n"/>
      <c r="B35" s="17" t="n"/>
      <c r="C35" s="16" t="n"/>
      <c r="D35" s="18" t="n"/>
      <c r="E35" s="18" t="n"/>
      <c r="F35" s="19" t="n"/>
      <c r="G35" s="19" t="n"/>
      <c r="H35" s="16" t="n"/>
      <c r="I35" s="16" t="n"/>
      <c r="J35" s="13">
        <f>IF(OR($A35="",$B35="",$F35="",$I35=""),"",IFERROR($F35*VLOOKUP($I35,Assumptions!$H$5:$I$8,2,FALSE),""))</f>
        <v/>
      </c>
      <c r="K35" s="13">
        <f>IF(OR($A35="",$B35="",$G35="",$I35=""),"",IFERROR($G35*VLOOKUP($I35,Assumptions!$H$5:$I$8,2,FALSE),""))</f>
        <v/>
      </c>
      <c r="L35" s="18" t="n"/>
    </row>
    <row r="36">
      <c r="A36" s="16" t="n"/>
      <c r="B36" s="17" t="n"/>
      <c r="C36" s="16" t="n"/>
      <c r="D36" s="18" t="n"/>
      <c r="E36" s="18" t="n"/>
      <c r="F36" s="19" t="n"/>
      <c r="G36" s="19" t="n"/>
      <c r="H36" s="16" t="n"/>
      <c r="I36" s="16" t="n"/>
      <c r="J36" s="9">
        <f>IF(OR($A36="",$B36="",$F36="",$I36=""),"",IFERROR($F36*VLOOKUP($I36,Assumptions!$H$5:$I$8,2,FALSE),""))</f>
        <v/>
      </c>
      <c r="K36" s="9">
        <f>IF(OR($A36="",$B36="",$G36="",$I36=""),"",IFERROR($G36*VLOOKUP($I36,Assumptions!$H$5:$I$8,2,FALSE),""))</f>
        <v/>
      </c>
      <c r="L36" s="18" t="n"/>
    </row>
    <row r="37">
      <c r="A37" s="16" t="n"/>
      <c r="B37" s="17" t="n"/>
      <c r="C37" s="16" t="n"/>
      <c r="D37" s="18" t="n"/>
      <c r="E37" s="18" t="n"/>
      <c r="F37" s="19" t="n"/>
      <c r="G37" s="19" t="n"/>
      <c r="H37" s="16" t="n"/>
      <c r="I37" s="16" t="n"/>
      <c r="J37" s="13">
        <f>IF(OR($A37="",$B37="",$F37="",$I37=""),"",IFERROR($F37*VLOOKUP($I37,Assumptions!$H$5:$I$8,2,FALSE),""))</f>
        <v/>
      </c>
      <c r="K37" s="13">
        <f>IF(OR($A37="",$B37="",$G37="",$I37=""),"",IFERROR($G37*VLOOKUP($I37,Assumptions!$H$5:$I$8,2,FALSE),""))</f>
        <v/>
      </c>
      <c r="L37" s="18" t="n"/>
    </row>
    <row r="38">
      <c r="A38" s="16" t="n"/>
      <c r="B38" s="17" t="n"/>
      <c r="C38" s="16" t="n"/>
      <c r="D38" s="18" t="n"/>
      <c r="E38" s="18" t="n"/>
      <c r="F38" s="19" t="n"/>
      <c r="G38" s="19" t="n"/>
      <c r="H38" s="16" t="n"/>
      <c r="I38" s="16" t="n"/>
      <c r="J38" s="9">
        <f>IF(OR($A38="",$B38="",$F38="",$I38=""),"",IFERROR($F38*VLOOKUP($I38,Assumptions!$H$5:$I$8,2,FALSE),""))</f>
        <v/>
      </c>
      <c r="K38" s="9">
        <f>IF(OR($A38="",$B38="",$G38="",$I38=""),"",IFERROR($G38*VLOOKUP($I38,Assumptions!$H$5:$I$8,2,FALSE),""))</f>
        <v/>
      </c>
      <c r="L38" s="18" t="n"/>
    </row>
    <row r="39">
      <c r="A39" s="16" t="n"/>
      <c r="B39" s="17" t="n"/>
      <c r="C39" s="16" t="n"/>
      <c r="D39" s="18" t="n"/>
      <c r="E39" s="18" t="n"/>
      <c r="F39" s="19" t="n"/>
      <c r="G39" s="19" t="n"/>
      <c r="H39" s="16" t="n"/>
      <c r="I39" s="16" t="n"/>
      <c r="J39" s="13">
        <f>IF(OR($A39="",$B39="",$F39="",$I39=""),"",IFERROR($F39*VLOOKUP($I39,Assumptions!$H$5:$I$8,2,FALSE),""))</f>
        <v/>
      </c>
      <c r="K39" s="13">
        <f>IF(OR($A39="",$B39="",$G39="",$I39=""),"",IFERROR($G39*VLOOKUP($I39,Assumptions!$H$5:$I$8,2,FALSE),""))</f>
        <v/>
      </c>
      <c r="L39" s="18" t="n"/>
    </row>
    <row r="40">
      <c r="A40" s="16" t="n"/>
      <c r="B40" s="17" t="n"/>
      <c r="C40" s="16" t="n"/>
      <c r="D40" s="18" t="n"/>
      <c r="E40" s="18" t="n"/>
      <c r="F40" s="19" t="n"/>
      <c r="G40" s="19" t="n"/>
      <c r="H40" s="16" t="n"/>
      <c r="I40" s="16" t="n"/>
      <c r="J40" s="9">
        <f>IF(OR($A40="",$B40="",$F40="",$I40=""),"",IFERROR($F40*VLOOKUP($I40,Assumptions!$H$5:$I$8,2,FALSE),""))</f>
        <v/>
      </c>
      <c r="K40" s="9">
        <f>IF(OR($A40="",$B40="",$G40="",$I40=""),"",IFERROR($G40*VLOOKUP($I40,Assumptions!$H$5:$I$8,2,FALSE),""))</f>
        <v/>
      </c>
      <c r="L40" s="18" t="n"/>
    </row>
    <row r="41">
      <c r="A41" s="16" t="n"/>
      <c r="B41" s="17" t="n"/>
      <c r="C41" s="16" t="n"/>
      <c r="D41" s="18" t="n"/>
      <c r="E41" s="18" t="n"/>
      <c r="F41" s="19" t="n"/>
      <c r="G41" s="19" t="n"/>
      <c r="H41" s="16" t="n"/>
      <c r="I41" s="16" t="n"/>
      <c r="J41" s="13">
        <f>IF(OR($A41="",$B41="",$F41="",$I41=""),"",IFERROR($F41*VLOOKUP($I41,Assumptions!$H$5:$I$8,2,FALSE),""))</f>
        <v/>
      </c>
      <c r="K41" s="13">
        <f>IF(OR($A41="",$B41="",$G41="",$I41=""),"",IFERROR($G41*VLOOKUP($I41,Assumptions!$H$5:$I$8,2,FALSE),""))</f>
        <v/>
      </c>
      <c r="L41" s="18" t="n"/>
    </row>
    <row r="42">
      <c r="A42" s="16" t="n"/>
      <c r="B42" s="17" t="n"/>
      <c r="C42" s="16" t="n"/>
      <c r="D42" s="18" t="n"/>
      <c r="E42" s="18" t="n"/>
      <c r="F42" s="19" t="n"/>
      <c r="G42" s="19" t="n"/>
      <c r="H42" s="16" t="n"/>
      <c r="I42" s="16" t="n"/>
      <c r="J42" s="9">
        <f>IF(OR($A42="",$B42="",$F42="",$I42=""),"",IFERROR($F42*VLOOKUP($I42,Assumptions!$H$5:$I$8,2,FALSE),""))</f>
        <v/>
      </c>
      <c r="K42" s="9">
        <f>IF(OR($A42="",$B42="",$G42="",$I42=""),"",IFERROR($G42*VLOOKUP($I42,Assumptions!$H$5:$I$8,2,FALSE),""))</f>
        <v/>
      </c>
      <c r="L42" s="18" t="n"/>
    </row>
    <row r="43">
      <c r="A43" s="16" t="n"/>
      <c r="B43" s="17" t="n"/>
      <c r="C43" s="16" t="n"/>
      <c r="D43" s="18" t="n"/>
      <c r="E43" s="18" t="n"/>
      <c r="F43" s="19" t="n"/>
      <c r="G43" s="19" t="n"/>
      <c r="H43" s="16" t="n"/>
      <c r="I43" s="16" t="n"/>
      <c r="J43" s="13">
        <f>IF(OR($A43="",$B43="",$F43="",$I43=""),"",IFERROR($F43*VLOOKUP($I43,Assumptions!$H$5:$I$8,2,FALSE),""))</f>
        <v/>
      </c>
      <c r="K43" s="13">
        <f>IF(OR($A43="",$B43="",$G43="",$I43=""),"",IFERROR($G43*VLOOKUP($I43,Assumptions!$H$5:$I$8,2,FALSE),""))</f>
        <v/>
      </c>
      <c r="L43" s="18" t="n"/>
    </row>
    <row r="44">
      <c r="A44" s="16" t="n"/>
      <c r="B44" s="17" t="n"/>
      <c r="C44" s="16" t="n"/>
      <c r="D44" s="18" t="n"/>
      <c r="E44" s="18" t="n"/>
      <c r="F44" s="19" t="n"/>
      <c r="G44" s="19" t="n"/>
      <c r="H44" s="16" t="n"/>
      <c r="I44" s="16" t="n"/>
      <c r="J44" s="9">
        <f>IF(OR($A44="",$B44="",$F44="",$I44=""),"",IFERROR($F44*VLOOKUP($I44,Assumptions!$H$5:$I$8,2,FALSE),""))</f>
        <v/>
      </c>
      <c r="K44" s="9">
        <f>IF(OR($A44="",$B44="",$G44="",$I44=""),"",IFERROR($G44*VLOOKUP($I44,Assumptions!$H$5:$I$8,2,FALSE),""))</f>
        <v/>
      </c>
      <c r="L44" s="18" t="n"/>
    </row>
    <row r="45">
      <c r="A45" s="16" t="n"/>
      <c r="B45" s="17" t="n"/>
      <c r="C45" s="16" t="n"/>
      <c r="D45" s="18" t="n"/>
      <c r="E45" s="18" t="n"/>
      <c r="F45" s="19" t="n"/>
      <c r="G45" s="19" t="n"/>
      <c r="H45" s="16" t="n"/>
      <c r="I45" s="16" t="n"/>
      <c r="J45" s="13">
        <f>IF(OR($A45="",$B45="",$F45="",$I45=""),"",IFERROR($F45*VLOOKUP($I45,Assumptions!$H$5:$I$8,2,FALSE),""))</f>
        <v/>
      </c>
      <c r="K45" s="13">
        <f>IF(OR($A45="",$B45="",$G45="",$I45=""),"",IFERROR($G45*VLOOKUP($I45,Assumptions!$H$5:$I$8,2,FALSE),""))</f>
        <v/>
      </c>
      <c r="L45" s="18" t="n"/>
    </row>
    <row r="46">
      <c r="A46" s="16" t="n"/>
      <c r="B46" s="17" t="n"/>
      <c r="C46" s="16" t="n"/>
      <c r="D46" s="18" t="n"/>
      <c r="E46" s="18" t="n"/>
      <c r="F46" s="19" t="n"/>
      <c r="G46" s="19" t="n"/>
      <c r="H46" s="16" t="n"/>
      <c r="I46" s="16" t="n"/>
      <c r="J46" s="9">
        <f>IF(OR($A46="",$B46="",$F46="",$I46=""),"",IFERROR($F46*VLOOKUP($I46,Assumptions!$H$5:$I$8,2,FALSE),""))</f>
        <v/>
      </c>
      <c r="K46" s="9">
        <f>IF(OR($A46="",$B46="",$G46="",$I46=""),"",IFERROR($G46*VLOOKUP($I46,Assumptions!$H$5:$I$8,2,FALSE),""))</f>
        <v/>
      </c>
      <c r="L46" s="18" t="n"/>
    </row>
    <row r="47">
      <c r="A47" s="16" t="n"/>
      <c r="B47" s="17" t="n"/>
      <c r="C47" s="16" t="n"/>
      <c r="D47" s="18" t="n"/>
      <c r="E47" s="18" t="n"/>
      <c r="F47" s="19" t="n"/>
      <c r="G47" s="19" t="n"/>
      <c r="H47" s="16" t="n"/>
      <c r="I47" s="16" t="n"/>
      <c r="J47" s="13">
        <f>IF(OR($A47="",$B47="",$F47="",$I47=""),"",IFERROR($F47*VLOOKUP($I47,Assumptions!$H$5:$I$8,2,FALSE),""))</f>
        <v/>
      </c>
      <c r="K47" s="13">
        <f>IF(OR($A47="",$B47="",$G47="",$I47=""),"",IFERROR($G47*VLOOKUP($I47,Assumptions!$H$5:$I$8,2,FALSE),""))</f>
        <v/>
      </c>
      <c r="L47" s="18" t="n"/>
    </row>
    <row r="48">
      <c r="A48" s="16" t="n"/>
      <c r="B48" s="17" t="n"/>
      <c r="C48" s="16" t="n"/>
      <c r="D48" s="18" t="n"/>
      <c r="E48" s="18" t="n"/>
      <c r="F48" s="19" t="n"/>
      <c r="G48" s="19" t="n"/>
      <c r="H48" s="16" t="n"/>
      <c r="I48" s="16" t="n"/>
      <c r="J48" s="9">
        <f>IF(OR($A48="",$B48="",$F48="",$I48=""),"",IFERROR($F48*VLOOKUP($I48,Assumptions!$H$5:$I$8,2,FALSE),""))</f>
        <v/>
      </c>
      <c r="K48" s="9">
        <f>IF(OR($A48="",$B48="",$G48="",$I48=""),"",IFERROR($G48*VLOOKUP($I48,Assumptions!$H$5:$I$8,2,FALSE),""))</f>
        <v/>
      </c>
      <c r="L48" s="18" t="n"/>
    </row>
    <row r="49">
      <c r="A49" s="16" t="n"/>
      <c r="B49" s="17" t="n"/>
      <c r="C49" s="16" t="n"/>
      <c r="D49" s="18" t="n"/>
      <c r="E49" s="18" t="n"/>
      <c r="F49" s="19" t="n"/>
      <c r="G49" s="19" t="n"/>
      <c r="H49" s="16" t="n"/>
      <c r="I49" s="16" t="n"/>
      <c r="J49" s="13">
        <f>IF(OR($A49="",$B49="",$F49="",$I49=""),"",IFERROR($F49*VLOOKUP($I49,Assumptions!$H$5:$I$8,2,FALSE),""))</f>
        <v/>
      </c>
      <c r="K49" s="13">
        <f>IF(OR($A49="",$B49="",$G49="",$I49=""),"",IFERROR($G49*VLOOKUP($I49,Assumptions!$H$5:$I$8,2,FALSE),""))</f>
        <v/>
      </c>
      <c r="L49" s="18" t="n"/>
    </row>
    <row r="50">
      <c r="A50" s="16" t="n"/>
      <c r="B50" s="17" t="n"/>
      <c r="C50" s="16" t="n"/>
      <c r="D50" s="18" t="n"/>
      <c r="E50" s="18" t="n"/>
      <c r="F50" s="19" t="n"/>
      <c r="G50" s="19" t="n"/>
      <c r="H50" s="16" t="n"/>
      <c r="I50" s="16" t="n"/>
      <c r="J50" s="9">
        <f>IF(OR($A50="",$B50="",$F50="",$I50=""),"",IFERROR($F50*VLOOKUP($I50,Assumptions!$H$5:$I$8,2,FALSE),""))</f>
        <v/>
      </c>
      <c r="K50" s="9">
        <f>IF(OR($A50="",$B50="",$G50="",$I50=""),"",IFERROR($G50*VLOOKUP($I50,Assumptions!$H$5:$I$8,2,FALSE),""))</f>
        <v/>
      </c>
      <c r="L50" s="18" t="n"/>
    </row>
    <row r="51">
      <c r="A51" s="16" t="n"/>
      <c r="B51" s="17" t="n"/>
      <c r="C51" s="16" t="n"/>
      <c r="D51" s="18" t="n"/>
      <c r="E51" s="18" t="n"/>
      <c r="F51" s="19" t="n"/>
      <c r="G51" s="19" t="n"/>
      <c r="H51" s="16" t="n"/>
      <c r="I51" s="16" t="n"/>
      <c r="J51" s="13">
        <f>IF(OR($A51="",$B51="",$F51="",$I51=""),"",IFERROR($F51*VLOOKUP($I51,Assumptions!$H$5:$I$8,2,FALSE),""))</f>
        <v/>
      </c>
      <c r="K51" s="13">
        <f>IF(OR($A51="",$B51="",$G51="",$I51=""),"",IFERROR($G51*VLOOKUP($I51,Assumptions!$H$5:$I$8,2,FALSE),""))</f>
        <v/>
      </c>
      <c r="L51" s="18" t="n"/>
    </row>
    <row r="52">
      <c r="A52" s="16" t="n"/>
      <c r="B52" s="17" t="n"/>
      <c r="C52" s="16" t="n"/>
      <c r="D52" s="18" t="n"/>
      <c r="E52" s="18" t="n"/>
      <c r="F52" s="19" t="n"/>
      <c r="G52" s="19" t="n"/>
      <c r="H52" s="16" t="n"/>
      <c r="I52" s="16" t="n"/>
      <c r="J52" s="9">
        <f>IF(OR($A52="",$B52="",$F52="",$I52=""),"",IFERROR($F52*VLOOKUP($I52,Assumptions!$H$5:$I$8,2,FALSE),""))</f>
        <v/>
      </c>
      <c r="K52" s="9">
        <f>IF(OR($A52="",$B52="",$G52="",$I52=""),"",IFERROR($G52*VLOOKUP($I52,Assumptions!$H$5:$I$8,2,FALSE),""))</f>
        <v/>
      </c>
      <c r="L52" s="18" t="n"/>
    </row>
    <row r="53">
      <c r="A53" s="16" t="n"/>
      <c r="B53" s="17" t="n"/>
      <c r="C53" s="16" t="n"/>
      <c r="D53" s="18" t="n"/>
      <c r="E53" s="18" t="n"/>
      <c r="F53" s="19" t="n"/>
      <c r="G53" s="19" t="n"/>
      <c r="H53" s="16" t="n"/>
      <c r="I53" s="16" t="n"/>
      <c r="J53" s="13">
        <f>IF(OR($A53="",$B53="",$F53="",$I53=""),"",IFERROR($F53*VLOOKUP($I53,Assumptions!$H$5:$I$8,2,FALSE),""))</f>
        <v/>
      </c>
      <c r="K53" s="13">
        <f>IF(OR($A53="",$B53="",$G53="",$I53=""),"",IFERROR($G53*VLOOKUP($I53,Assumptions!$H$5:$I$8,2,FALSE),""))</f>
        <v/>
      </c>
      <c r="L53" s="18" t="n"/>
    </row>
    <row r="54">
      <c r="A54" s="16" t="n"/>
      <c r="B54" s="17" t="n"/>
      <c r="C54" s="16" t="n"/>
      <c r="D54" s="18" t="n"/>
      <c r="E54" s="18" t="n"/>
      <c r="F54" s="19" t="n"/>
      <c r="G54" s="19" t="n"/>
      <c r="H54" s="16" t="n"/>
      <c r="I54" s="16" t="n"/>
      <c r="J54" s="9">
        <f>IF(OR($A54="",$B54="",$F54="",$I54=""),"",IFERROR($F54*VLOOKUP($I54,Assumptions!$H$5:$I$8,2,FALSE),""))</f>
        <v/>
      </c>
      <c r="K54" s="9">
        <f>IF(OR($A54="",$B54="",$G54="",$I54=""),"",IFERROR($G54*VLOOKUP($I54,Assumptions!$H$5:$I$8,2,FALSE),""))</f>
        <v/>
      </c>
      <c r="L54" s="18" t="n"/>
    </row>
    <row r="55">
      <c r="A55" s="16" t="n"/>
      <c r="B55" s="17" t="n"/>
      <c r="C55" s="16" t="n"/>
      <c r="D55" s="18" t="n"/>
      <c r="E55" s="18" t="n"/>
      <c r="F55" s="19" t="n"/>
      <c r="G55" s="19" t="n"/>
      <c r="H55" s="16" t="n"/>
      <c r="I55" s="16" t="n"/>
      <c r="J55" s="13">
        <f>IF(OR($A55="",$B55="",$F55="",$I55=""),"",IFERROR($F55*VLOOKUP($I55,Assumptions!$H$5:$I$8,2,FALSE),""))</f>
        <v/>
      </c>
      <c r="K55" s="13">
        <f>IF(OR($A55="",$B55="",$G55="",$I55=""),"",IFERROR($G55*VLOOKUP($I55,Assumptions!$H$5:$I$8,2,FALSE),""))</f>
        <v/>
      </c>
      <c r="L55" s="18" t="n"/>
    </row>
    <row r="56">
      <c r="A56" s="16" t="n"/>
      <c r="B56" s="17" t="n"/>
      <c r="C56" s="16" t="n"/>
      <c r="D56" s="18" t="n"/>
      <c r="E56" s="18" t="n"/>
      <c r="F56" s="19" t="n"/>
      <c r="G56" s="19" t="n"/>
      <c r="H56" s="16" t="n"/>
      <c r="I56" s="16" t="n"/>
      <c r="J56" s="9">
        <f>IF(OR($A56="",$B56="",$F56="",$I56=""),"",IFERROR($F56*VLOOKUP($I56,Assumptions!$H$5:$I$8,2,FALSE),""))</f>
        <v/>
      </c>
      <c r="K56" s="9">
        <f>IF(OR($A56="",$B56="",$G56="",$I56=""),"",IFERROR($G56*VLOOKUP($I56,Assumptions!$H$5:$I$8,2,FALSE),""))</f>
        <v/>
      </c>
      <c r="L56" s="18" t="n"/>
    </row>
    <row r="57">
      <c r="A57" s="16" t="n"/>
      <c r="B57" s="17" t="n"/>
      <c r="C57" s="16" t="n"/>
      <c r="D57" s="18" t="n"/>
      <c r="E57" s="18" t="n"/>
      <c r="F57" s="19" t="n"/>
      <c r="G57" s="19" t="n"/>
      <c r="H57" s="16" t="n"/>
      <c r="I57" s="16" t="n"/>
      <c r="J57" s="13">
        <f>IF(OR($A57="",$B57="",$F57="",$I57=""),"",IFERROR($F57*VLOOKUP($I57,Assumptions!$H$5:$I$8,2,FALSE),""))</f>
        <v/>
      </c>
      <c r="K57" s="13">
        <f>IF(OR($A57="",$B57="",$G57="",$I57=""),"",IFERROR($G57*VLOOKUP($I57,Assumptions!$H$5:$I$8,2,FALSE),""))</f>
        <v/>
      </c>
      <c r="L57" s="18" t="n"/>
    </row>
    <row r="58">
      <c r="A58" s="16" t="n"/>
      <c r="B58" s="17" t="n"/>
      <c r="C58" s="16" t="n"/>
      <c r="D58" s="18" t="n"/>
      <c r="E58" s="18" t="n"/>
      <c r="F58" s="19" t="n"/>
      <c r="G58" s="19" t="n"/>
      <c r="H58" s="16" t="n"/>
      <c r="I58" s="16" t="n"/>
      <c r="J58" s="9">
        <f>IF(OR($A58="",$B58="",$F58="",$I58=""),"",IFERROR($F58*VLOOKUP($I58,Assumptions!$H$5:$I$8,2,FALSE),""))</f>
        <v/>
      </c>
      <c r="K58" s="9">
        <f>IF(OR($A58="",$B58="",$G58="",$I58=""),"",IFERROR($G58*VLOOKUP($I58,Assumptions!$H$5:$I$8,2,FALSE),""))</f>
        <v/>
      </c>
      <c r="L58" s="18" t="n"/>
    </row>
    <row r="59">
      <c r="A59" s="16" t="n"/>
      <c r="B59" s="17" t="n"/>
      <c r="C59" s="16" t="n"/>
      <c r="D59" s="18" t="n"/>
      <c r="E59" s="18" t="n"/>
      <c r="F59" s="19" t="n"/>
      <c r="G59" s="19" t="n"/>
      <c r="H59" s="16" t="n"/>
      <c r="I59" s="16" t="n"/>
      <c r="J59" s="13">
        <f>IF(OR($A59="",$B59="",$F59="",$I59=""),"",IFERROR($F59*VLOOKUP($I59,Assumptions!$H$5:$I$8,2,FALSE),""))</f>
        <v/>
      </c>
      <c r="K59" s="13">
        <f>IF(OR($A59="",$B59="",$G59="",$I59=""),"",IFERROR($G59*VLOOKUP($I59,Assumptions!$H$5:$I$8,2,FALSE),""))</f>
        <v/>
      </c>
      <c r="L59" s="18" t="n"/>
    </row>
    <row r="60">
      <c r="A60" s="16" t="n"/>
      <c r="B60" s="17" t="n"/>
      <c r="C60" s="16" t="n"/>
      <c r="D60" s="18" t="n"/>
      <c r="E60" s="18" t="n"/>
      <c r="F60" s="19" t="n"/>
      <c r="G60" s="19" t="n"/>
      <c r="H60" s="16" t="n"/>
      <c r="I60" s="16" t="n"/>
      <c r="J60" s="9">
        <f>IF(OR($A60="",$B60="",$F60="",$I60=""),"",IFERROR($F60*VLOOKUP($I60,Assumptions!$H$5:$I$8,2,FALSE),""))</f>
        <v/>
      </c>
      <c r="K60" s="9">
        <f>IF(OR($A60="",$B60="",$G60="",$I60=""),"",IFERROR($G60*VLOOKUP($I60,Assumptions!$H$5:$I$8,2,FALSE),""))</f>
        <v/>
      </c>
      <c r="L60" s="18" t="n"/>
    </row>
    <row r="61">
      <c r="A61" s="16" t="n"/>
      <c r="B61" s="17" t="n"/>
      <c r="C61" s="16" t="n"/>
      <c r="D61" s="18" t="n"/>
      <c r="E61" s="18" t="n"/>
      <c r="F61" s="19" t="n"/>
      <c r="G61" s="19" t="n"/>
      <c r="H61" s="16" t="n"/>
      <c r="I61" s="16" t="n"/>
      <c r="J61" s="13">
        <f>IF(OR($A61="",$B61="",$F61="",$I61=""),"",IFERROR($F61*VLOOKUP($I61,Assumptions!$H$5:$I$8,2,FALSE),""))</f>
        <v/>
      </c>
      <c r="K61" s="13">
        <f>IF(OR($A61="",$B61="",$G61="",$I61=""),"",IFERROR($G61*VLOOKUP($I61,Assumptions!$H$5:$I$8,2,FALSE),""))</f>
        <v/>
      </c>
      <c r="L61" s="18" t="n"/>
    </row>
    <row r="62">
      <c r="A62" s="16" t="n"/>
      <c r="B62" s="17" t="n"/>
      <c r="C62" s="16" t="n"/>
      <c r="D62" s="18" t="n"/>
      <c r="E62" s="18" t="n"/>
      <c r="F62" s="19" t="n"/>
      <c r="G62" s="19" t="n"/>
      <c r="H62" s="16" t="n"/>
      <c r="I62" s="16" t="n"/>
      <c r="J62" s="9">
        <f>IF(OR($A62="",$B62="",$F62="",$I62=""),"",IFERROR($F62*VLOOKUP($I62,Assumptions!$H$5:$I$8,2,FALSE),""))</f>
        <v/>
      </c>
      <c r="K62" s="9">
        <f>IF(OR($A62="",$B62="",$G62="",$I62=""),"",IFERROR($G62*VLOOKUP($I62,Assumptions!$H$5:$I$8,2,FALSE),""))</f>
        <v/>
      </c>
      <c r="L62" s="18" t="n"/>
    </row>
    <row r="63">
      <c r="A63" s="16" t="n"/>
      <c r="B63" s="17" t="n"/>
      <c r="C63" s="16" t="n"/>
      <c r="D63" s="18" t="n"/>
      <c r="E63" s="18" t="n"/>
      <c r="F63" s="19" t="n"/>
      <c r="G63" s="19" t="n"/>
      <c r="H63" s="16" t="n"/>
      <c r="I63" s="16" t="n"/>
      <c r="J63" s="13">
        <f>IF(OR($A63="",$B63="",$F63="",$I63=""),"",IFERROR($F63*VLOOKUP($I63,Assumptions!$H$5:$I$8,2,FALSE),""))</f>
        <v/>
      </c>
      <c r="K63" s="13">
        <f>IF(OR($A63="",$B63="",$G63="",$I63=""),"",IFERROR($G63*VLOOKUP($I63,Assumptions!$H$5:$I$8,2,FALSE),""))</f>
        <v/>
      </c>
      <c r="L63" s="18" t="n"/>
    </row>
    <row r="64">
      <c r="A64" s="16" t="n"/>
      <c r="B64" s="17" t="n"/>
      <c r="C64" s="16" t="n"/>
      <c r="D64" s="18" t="n"/>
      <c r="E64" s="18" t="n"/>
      <c r="F64" s="19" t="n"/>
      <c r="G64" s="19" t="n"/>
      <c r="H64" s="16" t="n"/>
      <c r="I64" s="16" t="n"/>
      <c r="J64" s="9">
        <f>IF(OR($A64="",$B64="",$F64="",$I64=""),"",IFERROR($F64*VLOOKUP($I64,Assumptions!$H$5:$I$8,2,FALSE),""))</f>
        <v/>
      </c>
      <c r="K64" s="9">
        <f>IF(OR($A64="",$B64="",$G64="",$I64=""),"",IFERROR($G64*VLOOKUP($I64,Assumptions!$H$5:$I$8,2,FALSE),""))</f>
        <v/>
      </c>
      <c r="L64" s="18" t="n"/>
    </row>
    <row r="65">
      <c r="A65" s="16" t="n"/>
      <c r="B65" s="17" t="n"/>
      <c r="C65" s="16" t="n"/>
      <c r="D65" s="18" t="n"/>
      <c r="E65" s="18" t="n"/>
      <c r="F65" s="19" t="n"/>
      <c r="G65" s="19" t="n"/>
      <c r="H65" s="16" t="n"/>
      <c r="I65" s="16" t="n"/>
      <c r="J65" s="13">
        <f>IF(OR($A65="",$B65="",$F65="",$I65=""),"",IFERROR($F65*VLOOKUP($I65,Assumptions!$H$5:$I$8,2,FALSE),""))</f>
        <v/>
      </c>
      <c r="K65" s="13">
        <f>IF(OR($A65="",$B65="",$G65="",$I65=""),"",IFERROR($G65*VLOOKUP($I65,Assumptions!$H$5:$I$8,2,FALSE),""))</f>
        <v/>
      </c>
      <c r="L65" s="18" t="n"/>
    </row>
    <row r="66">
      <c r="A66" s="16" t="n"/>
      <c r="B66" s="17" t="n"/>
      <c r="C66" s="16" t="n"/>
      <c r="D66" s="18" t="n"/>
      <c r="E66" s="18" t="n"/>
      <c r="F66" s="19" t="n"/>
      <c r="G66" s="19" t="n"/>
      <c r="H66" s="16" t="n"/>
      <c r="I66" s="16" t="n"/>
      <c r="J66" s="9">
        <f>IF(OR($A66="",$B66="",$F66="",$I66=""),"",IFERROR($F66*VLOOKUP($I66,Assumptions!$H$5:$I$8,2,FALSE),""))</f>
        <v/>
      </c>
      <c r="K66" s="9">
        <f>IF(OR($A66="",$B66="",$G66="",$I66=""),"",IFERROR($G66*VLOOKUP($I66,Assumptions!$H$5:$I$8,2,FALSE),""))</f>
        <v/>
      </c>
      <c r="L66" s="18" t="n"/>
    </row>
    <row r="67">
      <c r="A67" s="16" t="n"/>
      <c r="B67" s="17" t="n"/>
      <c r="C67" s="16" t="n"/>
      <c r="D67" s="18" t="n"/>
      <c r="E67" s="18" t="n"/>
      <c r="F67" s="19" t="n"/>
      <c r="G67" s="19" t="n"/>
      <c r="H67" s="16" t="n"/>
      <c r="I67" s="16" t="n"/>
      <c r="J67" s="13">
        <f>IF(OR($A67="",$B67="",$F67="",$I67=""),"",IFERROR($F67*VLOOKUP($I67,Assumptions!$H$5:$I$8,2,FALSE),""))</f>
        <v/>
      </c>
      <c r="K67" s="13">
        <f>IF(OR($A67="",$B67="",$G67="",$I67=""),"",IFERROR($G67*VLOOKUP($I67,Assumptions!$H$5:$I$8,2,FALSE),""))</f>
        <v/>
      </c>
      <c r="L67" s="18" t="n"/>
    </row>
    <row r="68">
      <c r="A68" s="16" t="n"/>
      <c r="B68" s="17" t="n"/>
      <c r="C68" s="16" t="n"/>
      <c r="D68" s="18" t="n"/>
      <c r="E68" s="18" t="n"/>
      <c r="F68" s="19" t="n"/>
      <c r="G68" s="19" t="n"/>
      <c r="H68" s="16" t="n"/>
      <c r="I68" s="16" t="n"/>
      <c r="J68" s="9">
        <f>IF(OR($A68="",$B68="",$F68="",$I68=""),"",IFERROR($F68*VLOOKUP($I68,Assumptions!$H$5:$I$8,2,FALSE),""))</f>
        <v/>
      </c>
      <c r="K68" s="9">
        <f>IF(OR($A68="",$B68="",$G68="",$I68=""),"",IFERROR($G68*VLOOKUP($I68,Assumptions!$H$5:$I$8,2,FALSE),""))</f>
        <v/>
      </c>
      <c r="L68" s="18" t="n"/>
    </row>
    <row r="69">
      <c r="A69" s="16" t="n"/>
      <c r="B69" s="17" t="n"/>
      <c r="C69" s="16" t="n"/>
      <c r="D69" s="18" t="n"/>
      <c r="E69" s="18" t="n"/>
      <c r="F69" s="19" t="n"/>
      <c r="G69" s="19" t="n"/>
      <c r="H69" s="16" t="n"/>
      <c r="I69" s="16" t="n"/>
      <c r="J69" s="13">
        <f>IF(OR($A69="",$B69="",$F69="",$I69=""),"",IFERROR($F69*VLOOKUP($I69,Assumptions!$H$5:$I$8,2,FALSE),""))</f>
        <v/>
      </c>
      <c r="K69" s="13">
        <f>IF(OR($A69="",$B69="",$G69="",$I69=""),"",IFERROR($G69*VLOOKUP($I69,Assumptions!$H$5:$I$8,2,FALSE),""))</f>
        <v/>
      </c>
      <c r="L69" s="18" t="n"/>
    </row>
    <row r="70">
      <c r="A70" s="16" t="n"/>
      <c r="B70" s="17" t="n"/>
      <c r="C70" s="16" t="n"/>
      <c r="D70" s="18" t="n"/>
      <c r="E70" s="18" t="n"/>
      <c r="F70" s="19" t="n"/>
      <c r="G70" s="19" t="n"/>
      <c r="H70" s="16" t="n"/>
      <c r="I70" s="16" t="n"/>
      <c r="J70" s="9">
        <f>IF(OR($A70="",$B70="",$F70="",$I70=""),"",IFERROR($F70*VLOOKUP($I70,Assumptions!$H$5:$I$8,2,FALSE),""))</f>
        <v/>
      </c>
      <c r="K70" s="9">
        <f>IF(OR($A70="",$B70="",$G70="",$I70=""),"",IFERROR($G70*VLOOKUP($I70,Assumptions!$H$5:$I$8,2,FALSE),""))</f>
        <v/>
      </c>
      <c r="L70" s="18" t="n"/>
    </row>
    <row r="71">
      <c r="A71" s="16" t="n"/>
      <c r="B71" s="17" t="n"/>
      <c r="C71" s="16" t="n"/>
      <c r="D71" s="18" t="n"/>
      <c r="E71" s="18" t="n"/>
      <c r="F71" s="19" t="n"/>
      <c r="G71" s="19" t="n"/>
      <c r="H71" s="16" t="n"/>
      <c r="I71" s="16" t="n"/>
      <c r="J71" s="13">
        <f>IF(OR($A71="",$B71="",$F71="",$I71=""),"",IFERROR($F71*VLOOKUP($I71,Assumptions!$H$5:$I$8,2,FALSE),""))</f>
        <v/>
      </c>
      <c r="K71" s="13">
        <f>IF(OR($A71="",$B71="",$G71="",$I71=""),"",IFERROR($G71*VLOOKUP($I71,Assumptions!$H$5:$I$8,2,FALSE),""))</f>
        <v/>
      </c>
      <c r="L71" s="18" t="n"/>
    </row>
    <row r="72">
      <c r="A72" s="16" t="n"/>
      <c r="B72" s="17" t="n"/>
      <c r="C72" s="16" t="n"/>
      <c r="D72" s="18" t="n"/>
      <c r="E72" s="18" t="n"/>
      <c r="F72" s="19" t="n"/>
      <c r="G72" s="19" t="n"/>
      <c r="H72" s="16" t="n"/>
      <c r="I72" s="16" t="n"/>
      <c r="J72" s="9">
        <f>IF(OR($A72="",$B72="",$F72="",$I72=""),"",IFERROR($F72*VLOOKUP($I72,Assumptions!$H$5:$I$8,2,FALSE),""))</f>
        <v/>
      </c>
      <c r="K72" s="9">
        <f>IF(OR($A72="",$B72="",$G72="",$I72=""),"",IFERROR($G72*VLOOKUP($I72,Assumptions!$H$5:$I$8,2,FALSE),""))</f>
        <v/>
      </c>
      <c r="L72" s="18" t="n"/>
    </row>
    <row r="73">
      <c r="A73" s="16" t="n"/>
      <c r="B73" s="17" t="n"/>
      <c r="C73" s="16" t="n"/>
      <c r="D73" s="18" t="n"/>
      <c r="E73" s="18" t="n"/>
      <c r="F73" s="19" t="n"/>
      <c r="G73" s="19" t="n"/>
      <c r="H73" s="16" t="n"/>
      <c r="I73" s="16" t="n"/>
      <c r="J73" s="13">
        <f>IF(OR($A73="",$B73="",$F73="",$I73=""),"",IFERROR($F73*VLOOKUP($I73,Assumptions!$H$5:$I$8,2,FALSE),""))</f>
        <v/>
      </c>
      <c r="K73" s="13">
        <f>IF(OR($A73="",$B73="",$G73="",$I73=""),"",IFERROR($G73*VLOOKUP($I73,Assumptions!$H$5:$I$8,2,FALSE),""))</f>
        <v/>
      </c>
      <c r="L73" s="18" t="n"/>
    </row>
    <row r="74">
      <c r="A74" s="16" t="n"/>
      <c r="B74" s="17" t="n"/>
      <c r="C74" s="16" t="n"/>
      <c r="D74" s="18" t="n"/>
      <c r="E74" s="18" t="n"/>
      <c r="F74" s="19" t="n"/>
      <c r="G74" s="19" t="n"/>
      <c r="H74" s="16" t="n"/>
      <c r="I74" s="16" t="n"/>
      <c r="J74" s="9">
        <f>IF(OR($A74="",$B74="",$F74="",$I74=""),"",IFERROR($F74*VLOOKUP($I74,Assumptions!$H$5:$I$8,2,FALSE),""))</f>
        <v/>
      </c>
      <c r="K74" s="9">
        <f>IF(OR($A74="",$B74="",$G74="",$I74=""),"",IFERROR($G74*VLOOKUP($I74,Assumptions!$H$5:$I$8,2,FALSE),""))</f>
        <v/>
      </c>
      <c r="L74" s="18" t="n"/>
    </row>
    <row r="75">
      <c r="A75" s="16" t="n"/>
      <c r="B75" s="17" t="n"/>
      <c r="C75" s="16" t="n"/>
      <c r="D75" s="18" t="n"/>
      <c r="E75" s="18" t="n"/>
      <c r="F75" s="19" t="n"/>
      <c r="G75" s="19" t="n"/>
      <c r="H75" s="16" t="n"/>
      <c r="I75" s="16" t="n"/>
      <c r="J75" s="13">
        <f>IF(OR($A75="",$B75="",$F75="",$I75=""),"",IFERROR($F75*VLOOKUP($I75,Assumptions!$H$5:$I$8,2,FALSE),""))</f>
        <v/>
      </c>
      <c r="K75" s="13">
        <f>IF(OR($A75="",$B75="",$G75="",$I75=""),"",IFERROR($G75*VLOOKUP($I75,Assumptions!$H$5:$I$8,2,FALSE),""))</f>
        <v/>
      </c>
      <c r="L75" s="18" t="n"/>
    </row>
    <row r="76">
      <c r="A76" s="16" t="n"/>
      <c r="B76" s="17" t="n"/>
      <c r="C76" s="16" t="n"/>
      <c r="D76" s="18" t="n"/>
      <c r="E76" s="18" t="n"/>
      <c r="F76" s="19" t="n"/>
      <c r="G76" s="19" t="n"/>
      <c r="H76" s="16" t="n"/>
      <c r="I76" s="16" t="n"/>
      <c r="J76" s="9">
        <f>IF(OR($A76="",$B76="",$F76="",$I76=""),"",IFERROR($F76*VLOOKUP($I76,Assumptions!$H$5:$I$8,2,FALSE),""))</f>
        <v/>
      </c>
      <c r="K76" s="9">
        <f>IF(OR($A76="",$B76="",$G76="",$I76=""),"",IFERROR($G76*VLOOKUP($I76,Assumptions!$H$5:$I$8,2,FALSE),""))</f>
        <v/>
      </c>
      <c r="L76" s="18" t="n"/>
    </row>
    <row r="77">
      <c r="A77" s="16" t="n"/>
      <c r="B77" s="17" t="n"/>
      <c r="C77" s="16" t="n"/>
      <c r="D77" s="18" t="n"/>
      <c r="E77" s="18" t="n"/>
      <c r="F77" s="19" t="n"/>
      <c r="G77" s="19" t="n"/>
      <c r="H77" s="16" t="n"/>
      <c r="I77" s="16" t="n"/>
      <c r="J77" s="13">
        <f>IF(OR($A77="",$B77="",$F77="",$I77=""),"",IFERROR($F77*VLOOKUP($I77,Assumptions!$H$5:$I$8,2,FALSE),""))</f>
        <v/>
      </c>
      <c r="K77" s="13">
        <f>IF(OR($A77="",$B77="",$G77="",$I77=""),"",IFERROR($G77*VLOOKUP($I77,Assumptions!$H$5:$I$8,2,FALSE),""))</f>
        <v/>
      </c>
      <c r="L77" s="18" t="n"/>
    </row>
    <row r="78">
      <c r="A78" s="16" t="n"/>
      <c r="B78" s="17" t="n"/>
      <c r="C78" s="16" t="n"/>
      <c r="D78" s="18" t="n"/>
      <c r="E78" s="18" t="n"/>
      <c r="F78" s="19" t="n"/>
      <c r="G78" s="19" t="n"/>
      <c r="H78" s="16" t="n"/>
      <c r="I78" s="16" t="n"/>
      <c r="J78" s="9">
        <f>IF(OR($A78="",$B78="",$F78="",$I78=""),"",IFERROR($F78*VLOOKUP($I78,Assumptions!$H$5:$I$8,2,FALSE),""))</f>
        <v/>
      </c>
      <c r="K78" s="9">
        <f>IF(OR($A78="",$B78="",$G78="",$I78=""),"",IFERROR($G78*VLOOKUP($I78,Assumptions!$H$5:$I$8,2,FALSE),""))</f>
        <v/>
      </c>
      <c r="L78" s="18" t="n"/>
    </row>
    <row r="79">
      <c r="A79" s="16" t="n"/>
      <c r="B79" s="17" t="n"/>
      <c r="C79" s="16" t="n"/>
      <c r="D79" s="18" t="n"/>
      <c r="E79" s="18" t="n"/>
      <c r="F79" s="19" t="n"/>
      <c r="G79" s="19" t="n"/>
      <c r="H79" s="16" t="n"/>
      <c r="I79" s="16" t="n"/>
      <c r="J79" s="13">
        <f>IF(OR($A79="",$B79="",$F79="",$I79=""),"",IFERROR($F79*VLOOKUP($I79,Assumptions!$H$5:$I$8,2,FALSE),""))</f>
        <v/>
      </c>
      <c r="K79" s="13">
        <f>IF(OR($A79="",$B79="",$G79="",$I79=""),"",IFERROR($G79*VLOOKUP($I79,Assumptions!$H$5:$I$8,2,FALSE),""))</f>
        <v/>
      </c>
      <c r="L79" s="18" t="n"/>
    </row>
    <row r="80">
      <c r="A80" s="16" t="n"/>
      <c r="B80" s="17" t="n"/>
      <c r="C80" s="16" t="n"/>
      <c r="D80" s="18" t="n"/>
      <c r="E80" s="18" t="n"/>
      <c r="F80" s="19" t="n"/>
      <c r="G80" s="19" t="n"/>
      <c r="H80" s="16" t="n"/>
      <c r="I80" s="16" t="n"/>
      <c r="J80" s="9">
        <f>IF(OR($A80="",$B80="",$F80="",$I80=""),"",IFERROR($F80*VLOOKUP($I80,Assumptions!$H$5:$I$8,2,FALSE),""))</f>
        <v/>
      </c>
      <c r="K80" s="9">
        <f>IF(OR($A80="",$B80="",$G80="",$I80=""),"",IFERROR($G80*VLOOKUP($I80,Assumptions!$H$5:$I$8,2,FALSE),""))</f>
        <v/>
      </c>
      <c r="L80" s="18" t="n"/>
    </row>
    <row r="81">
      <c r="A81" s="16" t="n"/>
      <c r="B81" s="17" t="n"/>
      <c r="C81" s="16" t="n"/>
      <c r="D81" s="18" t="n"/>
      <c r="E81" s="18" t="n"/>
      <c r="F81" s="19" t="n"/>
      <c r="G81" s="19" t="n"/>
      <c r="H81" s="16" t="n"/>
      <c r="I81" s="16" t="n"/>
      <c r="J81" s="13">
        <f>IF(OR($A81="",$B81="",$F81="",$I81=""),"",IFERROR($F81*VLOOKUP($I81,Assumptions!$H$5:$I$8,2,FALSE),""))</f>
        <v/>
      </c>
      <c r="K81" s="13">
        <f>IF(OR($A81="",$B81="",$G81="",$I81=""),"",IFERROR($G81*VLOOKUP($I81,Assumptions!$H$5:$I$8,2,FALSE),""))</f>
        <v/>
      </c>
      <c r="L81" s="18" t="n"/>
    </row>
    <row r="82">
      <c r="A82" s="16" t="n"/>
      <c r="B82" s="17" t="n"/>
      <c r="C82" s="16" t="n"/>
      <c r="D82" s="18" t="n"/>
      <c r="E82" s="18" t="n"/>
      <c r="F82" s="19" t="n"/>
      <c r="G82" s="19" t="n"/>
      <c r="H82" s="16" t="n"/>
      <c r="I82" s="16" t="n"/>
      <c r="J82" s="9">
        <f>IF(OR($A82="",$B82="",$F82="",$I82=""),"",IFERROR($F82*VLOOKUP($I82,Assumptions!$H$5:$I$8,2,FALSE),""))</f>
        <v/>
      </c>
      <c r="K82" s="9">
        <f>IF(OR($A82="",$B82="",$G82="",$I82=""),"",IFERROR($G82*VLOOKUP($I82,Assumptions!$H$5:$I$8,2,FALSE),""))</f>
        <v/>
      </c>
      <c r="L82" s="18" t="n"/>
    </row>
    <row r="83">
      <c r="A83" s="16" t="n"/>
      <c r="B83" s="17" t="n"/>
      <c r="C83" s="16" t="n"/>
      <c r="D83" s="18" t="n"/>
      <c r="E83" s="18" t="n"/>
      <c r="F83" s="19" t="n"/>
      <c r="G83" s="19" t="n"/>
      <c r="H83" s="16" t="n"/>
      <c r="I83" s="16" t="n"/>
      <c r="J83" s="13">
        <f>IF(OR($A83="",$B83="",$F83="",$I83=""),"",IFERROR($F83*VLOOKUP($I83,Assumptions!$H$5:$I$8,2,FALSE),""))</f>
        <v/>
      </c>
      <c r="K83" s="13">
        <f>IF(OR($A83="",$B83="",$G83="",$I83=""),"",IFERROR($G83*VLOOKUP($I83,Assumptions!$H$5:$I$8,2,FALSE),""))</f>
        <v/>
      </c>
      <c r="L83" s="18" t="n"/>
    </row>
    <row r="84">
      <c r="A84" s="16" t="n"/>
      <c r="B84" s="17" t="n"/>
      <c r="C84" s="16" t="n"/>
      <c r="D84" s="18" t="n"/>
      <c r="E84" s="18" t="n"/>
      <c r="F84" s="19" t="n"/>
      <c r="G84" s="19" t="n"/>
      <c r="H84" s="16" t="n"/>
      <c r="I84" s="16" t="n"/>
      <c r="J84" s="9">
        <f>IF(OR($A84="",$B84="",$F84="",$I84=""),"",IFERROR($F84*VLOOKUP($I84,Assumptions!$H$5:$I$8,2,FALSE),""))</f>
        <v/>
      </c>
      <c r="K84" s="9">
        <f>IF(OR($A84="",$B84="",$G84="",$I84=""),"",IFERROR($G84*VLOOKUP($I84,Assumptions!$H$5:$I$8,2,FALSE),""))</f>
        <v/>
      </c>
      <c r="L84" s="18" t="n"/>
    </row>
    <row r="85">
      <c r="A85" s="16" t="n"/>
      <c r="B85" s="17" t="n"/>
      <c r="C85" s="16" t="n"/>
      <c r="D85" s="18" t="n"/>
      <c r="E85" s="18" t="n"/>
      <c r="F85" s="19" t="n"/>
      <c r="G85" s="19" t="n"/>
      <c r="H85" s="16" t="n"/>
      <c r="I85" s="16" t="n"/>
      <c r="J85" s="13">
        <f>IF(OR($A85="",$B85="",$F85="",$I85=""),"",IFERROR($F85*VLOOKUP($I85,Assumptions!$H$5:$I$8,2,FALSE),""))</f>
        <v/>
      </c>
      <c r="K85" s="13">
        <f>IF(OR($A85="",$B85="",$G85="",$I85=""),"",IFERROR($G85*VLOOKUP($I85,Assumptions!$H$5:$I$8,2,FALSE),""))</f>
        <v/>
      </c>
      <c r="L85" s="18" t="n"/>
    </row>
    <row r="86">
      <c r="A86" s="16" t="n"/>
      <c r="B86" s="17" t="n"/>
      <c r="C86" s="16" t="n"/>
      <c r="D86" s="18" t="n"/>
      <c r="E86" s="18" t="n"/>
      <c r="F86" s="19" t="n"/>
      <c r="G86" s="19" t="n"/>
      <c r="H86" s="16" t="n"/>
      <c r="I86" s="16" t="n"/>
      <c r="J86" s="9">
        <f>IF(OR($A86="",$B86="",$F86="",$I86=""),"",IFERROR($F86*VLOOKUP($I86,Assumptions!$H$5:$I$8,2,FALSE),""))</f>
        <v/>
      </c>
      <c r="K86" s="9">
        <f>IF(OR($A86="",$B86="",$G86="",$I86=""),"",IFERROR($G86*VLOOKUP($I86,Assumptions!$H$5:$I$8,2,FALSE),""))</f>
        <v/>
      </c>
      <c r="L86" s="18" t="n"/>
    </row>
    <row r="87">
      <c r="A87" s="16" t="n"/>
      <c r="B87" s="17" t="n"/>
      <c r="C87" s="16" t="n"/>
      <c r="D87" s="18" t="n"/>
      <c r="E87" s="18" t="n"/>
      <c r="F87" s="19" t="n"/>
      <c r="G87" s="19" t="n"/>
      <c r="H87" s="16" t="n"/>
      <c r="I87" s="16" t="n"/>
      <c r="J87" s="13">
        <f>IF(OR($A87="",$B87="",$F87="",$I87=""),"",IFERROR($F87*VLOOKUP($I87,Assumptions!$H$5:$I$8,2,FALSE),""))</f>
        <v/>
      </c>
      <c r="K87" s="13">
        <f>IF(OR($A87="",$B87="",$G87="",$I87=""),"",IFERROR($G87*VLOOKUP($I87,Assumptions!$H$5:$I$8,2,FALSE),""))</f>
        <v/>
      </c>
      <c r="L87" s="18" t="n"/>
    </row>
    <row r="88">
      <c r="A88" s="16" t="n"/>
      <c r="B88" s="17" t="n"/>
      <c r="C88" s="16" t="n"/>
      <c r="D88" s="18" t="n"/>
      <c r="E88" s="18" t="n"/>
      <c r="F88" s="19" t="n"/>
      <c r="G88" s="19" t="n"/>
      <c r="H88" s="16" t="n"/>
      <c r="I88" s="16" t="n"/>
      <c r="J88" s="9">
        <f>IF(OR($A88="",$B88="",$F88="",$I88=""),"",IFERROR($F88*VLOOKUP($I88,Assumptions!$H$5:$I$8,2,FALSE),""))</f>
        <v/>
      </c>
      <c r="K88" s="9">
        <f>IF(OR($A88="",$B88="",$G88="",$I88=""),"",IFERROR($G88*VLOOKUP($I88,Assumptions!$H$5:$I$8,2,FALSE),""))</f>
        <v/>
      </c>
      <c r="L88" s="18" t="n"/>
    </row>
    <row r="89">
      <c r="A89" s="16" t="n"/>
      <c r="B89" s="17" t="n"/>
      <c r="C89" s="16" t="n"/>
      <c r="D89" s="18" t="n"/>
      <c r="E89" s="18" t="n"/>
      <c r="F89" s="19" t="n"/>
      <c r="G89" s="19" t="n"/>
      <c r="H89" s="16" t="n"/>
      <c r="I89" s="16" t="n"/>
      <c r="J89" s="13">
        <f>IF(OR($A89="",$B89="",$F89="",$I89=""),"",IFERROR($F89*VLOOKUP($I89,Assumptions!$H$5:$I$8,2,FALSE),""))</f>
        <v/>
      </c>
      <c r="K89" s="13">
        <f>IF(OR($A89="",$B89="",$G89="",$I89=""),"",IFERROR($G89*VLOOKUP($I89,Assumptions!$H$5:$I$8,2,FALSE),""))</f>
        <v/>
      </c>
      <c r="L89" s="18" t="n"/>
    </row>
    <row r="90">
      <c r="A90" s="16" t="n"/>
      <c r="B90" s="17" t="n"/>
      <c r="C90" s="16" t="n"/>
      <c r="D90" s="18" t="n"/>
      <c r="E90" s="18" t="n"/>
      <c r="F90" s="19" t="n"/>
      <c r="G90" s="19" t="n"/>
      <c r="H90" s="16" t="n"/>
      <c r="I90" s="16" t="n"/>
      <c r="J90" s="9">
        <f>IF(OR($A90="",$B90="",$F90="",$I90=""),"",IFERROR($F90*VLOOKUP($I90,Assumptions!$H$5:$I$8,2,FALSE),""))</f>
        <v/>
      </c>
      <c r="K90" s="9">
        <f>IF(OR($A90="",$B90="",$G90="",$I90=""),"",IFERROR($G90*VLOOKUP($I90,Assumptions!$H$5:$I$8,2,FALSE),""))</f>
        <v/>
      </c>
      <c r="L90" s="18" t="n"/>
    </row>
    <row r="91">
      <c r="A91" s="16" t="n"/>
      <c r="B91" s="17" t="n"/>
      <c r="C91" s="16" t="n"/>
      <c r="D91" s="18" t="n"/>
      <c r="E91" s="18" t="n"/>
      <c r="F91" s="19" t="n"/>
      <c r="G91" s="19" t="n"/>
      <c r="H91" s="16" t="n"/>
      <c r="I91" s="16" t="n"/>
      <c r="J91" s="13">
        <f>IF(OR($A91="",$B91="",$F91="",$I91=""),"",IFERROR($F91*VLOOKUP($I91,Assumptions!$H$5:$I$8,2,FALSE),""))</f>
        <v/>
      </c>
      <c r="K91" s="13">
        <f>IF(OR($A91="",$B91="",$G91="",$I91=""),"",IFERROR($G91*VLOOKUP($I91,Assumptions!$H$5:$I$8,2,FALSE),""))</f>
        <v/>
      </c>
      <c r="L91" s="18" t="n"/>
    </row>
    <row r="92">
      <c r="A92" s="16" t="n"/>
      <c r="B92" s="17" t="n"/>
      <c r="C92" s="16" t="n"/>
      <c r="D92" s="18" t="n"/>
      <c r="E92" s="18" t="n"/>
      <c r="F92" s="19" t="n"/>
      <c r="G92" s="19" t="n"/>
      <c r="H92" s="16" t="n"/>
      <c r="I92" s="16" t="n"/>
      <c r="J92" s="9">
        <f>IF(OR($A92="",$B92="",$F92="",$I92=""),"",IFERROR($F92*VLOOKUP($I92,Assumptions!$H$5:$I$8,2,FALSE),""))</f>
        <v/>
      </c>
      <c r="K92" s="9">
        <f>IF(OR($A92="",$B92="",$G92="",$I92=""),"",IFERROR($G92*VLOOKUP($I92,Assumptions!$H$5:$I$8,2,FALSE),""))</f>
        <v/>
      </c>
      <c r="L92" s="18" t="n"/>
    </row>
    <row r="93">
      <c r="A93" s="16" t="n"/>
      <c r="B93" s="17" t="n"/>
      <c r="C93" s="16" t="n"/>
      <c r="D93" s="18" t="n"/>
      <c r="E93" s="18" t="n"/>
      <c r="F93" s="19" t="n"/>
      <c r="G93" s="19" t="n"/>
      <c r="H93" s="16" t="n"/>
      <c r="I93" s="16" t="n"/>
      <c r="J93" s="13">
        <f>IF(OR($A93="",$B93="",$F93="",$I93=""),"",IFERROR($F93*VLOOKUP($I93,Assumptions!$H$5:$I$8,2,FALSE),""))</f>
        <v/>
      </c>
      <c r="K93" s="13">
        <f>IF(OR($A93="",$B93="",$G93="",$I93=""),"",IFERROR($G93*VLOOKUP($I93,Assumptions!$H$5:$I$8,2,FALSE),""))</f>
        <v/>
      </c>
      <c r="L93" s="18" t="n"/>
    </row>
    <row r="94">
      <c r="A94" s="16" t="n"/>
      <c r="B94" s="17" t="n"/>
      <c r="C94" s="16" t="n"/>
      <c r="D94" s="18" t="n"/>
      <c r="E94" s="18" t="n"/>
      <c r="F94" s="19" t="n"/>
      <c r="G94" s="19" t="n"/>
      <c r="H94" s="16" t="n"/>
      <c r="I94" s="16" t="n"/>
      <c r="J94" s="9">
        <f>IF(OR($A94="",$B94="",$F94="",$I94=""),"",IFERROR($F94*VLOOKUP($I94,Assumptions!$H$5:$I$8,2,FALSE),""))</f>
        <v/>
      </c>
      <c r="K94" s="9">
        <f>IF(OR($A94="",$B94="",$G94="",$I94=""),"",IFERROR($G94*VLOOKUP($I94,Assumptions!$H$5:$I$8,2,FALSE),""))</f>
        <v/>
      </c>
      <c r="L94" s="18" t="n"/>
    </row>
    <row r="95">
      <c r="A95" s="16" t="n"/>
      <c r="B95" s="17" t="n"/>
      <c r="C95" s="16" t="n"/>
      <c r="D95" s="18" t="n"/>
      <c r="E95" s="18" t="n"/>
      <c r="F95" s="19" t="n"/>
      <c r="G95" s="19" t="n"/>
      <c r="H95" s="16" t="n"/>
      <c r="I95" s="16" t="n"/>
      <c r="J95" s="13">
        <f>IF(OR($A95="",$B95="",$F95="",$I95=""),"",IFERROR($F95*VLOOKUP($I95,Assumptions!$H$5:$I$8,2,FALSE),""))</f>
        <v/>
      </c>
      <c r="K95" s="13">
        <f>IF(OR($A95="",$B95="",$G95="",$I95=""),"",IFERROR($G95*VLOOKUP($I95,Assumptions!$H$5:$I$8,2,FALSE),""))</f>
        <v/>
      </c>
      <c r="L95" s="18" t="n"/>
    </row>
    <row r="96">
      <c r="A96" s="16" t="n"/>
      <c r="B96" s="17" t="n"/>
      <c r="C96" s="16" t="n"/>
      <c r="D96" s="18" t="n"/>
      <c r="E96" s="18" t="n"/>
      <c r="F96" s="19" t="n"/>
      <c r="G96" s="19" t="n"/>
      <c r="H96" s="16" t="n"/>
      <c r="I96" s="16" t="n"/>
      <c r="J96" s="9">
        <f>IF(OR($A96="",$B96="",$F96="",$I96=""),"",IFERROR($F96*VLOOKUP($I96,Assumptions!$H$5:$I$8,2,FALSE),""))</f>
        <v/>
      </c>
      <c r="K96" s="9">
        <f>IF(OR($A96="",$B96="",$G96="",$I96=""),"",IFERROR($G96*VLOOKUP($I96,Assumptions!$H$5:$I$8,2,FALSE),""))</f>
        <v/>
      </c>
      <c r="L96" s="18" t="n"/>
    </row>
    <row r="97">
      <c r="A97" s="16" t="n"/>
      <c r="B97" s="17" t="n"/>
      <c r="C97" s="16" t="n"/>
      <c r="D97" s="18" t="n"/>
      <c r="E97" s="18" t="n"/>
      <c r="F97" s="19" t="n"/>
      <c r="G97" s="19" t="n"/>
      <c r="H97" s="16" t="n"/>
      <c r="I97" s="16" t="n"/>
      <c r="J97" s="13">
        <f>IF(OR($A97="",$B97="",$F97="",$I97=""),"",IFERROR($F97*VLOOKUP($I97,Assumptions!$H$5:$I$8,2,FALSE),""))</f>
        <v/>
      </c>
      <c r="K97" s="13">
        <f>IF(OR($A97="",$B97="",$G97="",$I97=""),"",IFERROR($G97*VLOOKUP($I97,Assumptions!$H$5:$I$8,2,FALSE),""))</f>
        <v/>
      </c>
      <c r="L97" s="18" t="n"/>
    </row>
    <row r="98">
      <c r="A98" s="16" t="n"/>
      <c r="B98" s="17" t="n"/>
      <c r="C98" s="16" t="n"/>
      <c r="D98" s="18" t="n"/>
      <c r="E98" s="18" t="n"/>
      <c r="F98" s="19" t="n"/>
      <c r="G98" s="19" t="n"/>
      <c r="H98" s="16" t="n"/>
      <c r="I98" s="16" t="n"/>
      <c r="J98" s="9">
        <f>IF(OR($A98="",$B98="",$F98="",$I98=""),"",IFERROR($F98*VLOOKUP($I98,Assumptions!$H$5:$I$8,2,FALSE),""))</f>
        <v/>
      </c>
      <c r="K98" s="9">
        <f>IF(OR($A98="",$B98="",$G98="",$I98=""),"",IFERROR($G98*VLOOKUP($I98,Assumptions!$H$5:$I$8,2,FALSE),""))</f>
        <v/>
      </c>
      <c r="L98" s="18" t="n"/>
    </row>
    <row r="99">
      <c r="A99" s="16" t="n"/>
      <c r="B99" s="17" t="n"/>
      <c r="C99" s="16" t="n"/>
      <c r="D99" s="18" t="n"/>
      <c r="E99" s="18" t="n"/>
      <c r="F99" s="19" t="n"/>
      <c r="G99" s="19" t="n"/>
      <c r="H99" s="16" t="n"/>
      <c r="I99" s="16" t="n"/>
      <c r="J99" s="13">
        <f>IF(OR($A99="",$B99="",$F99="",$I99=""),"",IFERROR($F99*VLOOKUP($I99,Assumptions!$H$5:$I$8,2,FALSE),""))</f>
        <v/>
      </c>
      <c r="K99" s="13">
        <f>IF(OR($A99="",$B99="",$G99="",$I99=""),"",IFERROR($G99*VLOOKUP($I99,Assumptions!$H$5:$I$8,2,FALSE),""))</f>
        <v/>
      </c>
      <c r="L99" s="18" t="n"/>
    </row>
    <row r="100">
      <c r="A100" s="16" t="n"/>
      <c r="B100" s="17" t="n"/>
      <c r="C100" s="16" t="n"/>
      <c r="D100" s="18" t="n"/>
      <c r="E100" s="18" t="n"/>
      <c r="F100" s="19" t="n"/>
      <c r="G100" s="19" t="n"/>
      <c r="H100" s="16" t="n"/>
      <c r="I100" s="16" t="n"/>
      <c r="J100" s="9">
        <f>IF(OR($A100="",$B100="",$F100="",$I100=""),"",IFERROR($F100*VLOOKUP($I100,Assumptions!$H$5:$I$8,2,FALSE),""))</f>
        <v/>
      </c>
      <c r="K100" s="9">
        <f>IF(OR($A100="",$B100="",$G100="",$I100=""),"",IFERROR($G100*VLOOKUP($I100,Assumptions!$H$5:$I$8,2,FALSE),""))</f>
        <v/>
      </c>
      <c r="L100" s="18" t="n"/>
    </row>
    <row r="101">
      <c r="A101" s="16" t="n"/>
      <c r="B101" s="17" t="n"/>
      <c r="C101" s="16" t="n"/>
      <c r="D101" s="18" t="n"/>
      <c r="E101" s="18" t="n"/>
      <c r="F101" s="19" t="n"/>
      <c r="G101" s="19" t="n"/>
      <c r="H101" s="16" t="n"/>
      <c r="I101" s="16" t="n"/>
      <c r="J101" s="13">
        <f>IF(OR($A101="",$B101="",$F101="",$I101=""),"",IFERROR($F101*VLOOKUP($I101,Assumptions!$H$5:$I$8,2,FALSE),""))</f>
        <v/>
      </c>
      <c r="K101" s="13">
        <f>IF(OR($A101="",$B101="",$G101="",$I101=""),"",IFERROR($G101*VLOOKUP($I101,Assumptions!$H$5:$I$8,2,FALSE),""))</f>
        <v/>
      </c>
      <c r="L101" s="18" t="n"/>
    </row>
    <row r="102">
      <c r="A102" s="16" t="n"/>
      <c r="B102" s="17" t="n"/>
      <c r="C102" s="16" t="n"/>
      <c r="D102" s="18" t="n"/>
      <c r="E102" s="18" t="n"/>
      <c r="F102" s="19" t="n"/>
      <c r="G102" s="19" t="n"/>
      <c r="H102" s="16" t="n"/>
      <c r="I102" s="16" t="n"/>
      <c r="J102" s="9">
        <f>IF(OR($A102="",$B102="",$F102="",$I102=""),"",IFERROR($F102*VLOOKUP($I102,Assumptions!$H$5:$I$8,2,FALSE),""))</f>
        <v/>
      </c>
      <c r="K102" s="9">
        <f>IF(OR($A102="",$B102="",$G102="",$I102=""),"",IFERROR($G102*VLOOKUP($I102,Assumptions!$H$5:$I$8,2,FALSE),""))</f>
        <v/>
      </c>
      <c r="L102" s="18" t="n"/>
    </row>
    <row r="103">
      <c r="A103" s="16" t="n"/>
      <c r="B103" s="17" t="n"/>
      <c r="C103" s="16" t="n"/>
      <c r="D103" s="18" t="n"/>
      <c r="E103" s="18" t="n"/>
      <c r="F103" s="19" t="n"/>
      <c r="G103" s="19" t="n"/>
      <c r="H103" s="16" t="n"/>
      <c r="I103" s="16" t="n"/>
      <c r="J103" s="13">
        <f>IF(OR($A103="",$B103="",$F103="",$I103=""),"",IFERROR($F103*VLOOKUP($I103,Assumptions!$H$5:$I$8,2,FALSE),""))</f>
        <v/>
      </c>
      <c r="K103" s="13">
        <f>IF(OR($A103="",$B103="",$G103="",$I103=""),"",IFERROR($G103*VLOOKUP($I103,Assumptions!$H$5:$I$8,2,FALSE),""))</f>
        <v/>
      </c>
      <c r="L103" s="18" t="n"/>
    </row>
  </sheetData>
  <autoFilter ref="A3:L103"/>
  <mergeCells count="1">
    <mergeCell ref="A1:L1"/>
  </mergeCells>
  <conditionalFormatting sqref="A4:A103">
    <cfRule type="expression" priority="1" dxfId="0">
      <formula>AND($A4&lt;&gt;"",COUNTIF($A$4:$A$103,$A4)&gt;1)</formula>
    </cfRule>
  </conditionalFormatting>
  <conditionalFormatting sqref="B4:B103">
    <cfRule type="expression" priority="2" dxfId="0">
      <formula>AND($B4&lt;&gt;"",WEEKDAY($B4,2)&lt;&gt;1)</formula>
    </cfRule>
  </conditionalFormatting>
  <dataValidations count="5">
    <dataValidation sqref="B4:B103" showDropDown="0" showInputMessage="0" showErrorMessage="0" allowBlank="0" errorTitle="Date outside planning horizon" error="Enter a date within the prepared planning horizon." promptTitle="Week start" prompt="Enter the Monday that starts the service week." type="date" operator="between">
      <formula1>INDIRECT("'Assumptions'!$B$5")</formula1>
      <formula2>INDIRECT("'Assumptions'!$B$5")+7*(INDIRECT("'Assumptions'!$B$8")-1)</formula2>
    </dataValidation>
    <dataValidation sqref="C4:C103" showDropDown="0" showInputMessage="0" showErrorMessage="0" allowBlank="0" errorTitle="Service type needed" error="Choose a service type from the Assumptions sheet list." type="list">
      <formula1>INDIRECT("'Assumptions'!$D$5:$D$9")</formula1>
    </dataValidation>
    <dataValidation sqref="F4:G103" showDropDown="0" showInputMessage="0" showErrorMessage="0" allowBlank="0" errorTitle="Hours outside range" error="Enter zero or a positive number within the maximum hours assumption." type="decimal" operator="between">
      <formula1>0</formula1>
      <formula2>INDIRECT("'Assumptions'!$B$9")</formula2>
    </dataValidation>
    <dataValidation sqref="H4:H103" showDropDown="0" showInputMessage="0" showErrorMessage="0" allowBlank="0" errorTitle="Assignment not listed" error="Choose an assignment from the Assumptions sheet list." type="list">
      <formula1>INDIRECT("'Assumptions'!$F$5:$F$8")</formula1>
    </dataValidation>
    <dataValidation sqref="I4:I103" showDropDown="0" showInputMessage="0" showErrorMessage="0" allowBlank="0" errorTitle="Status not listed" error="Choose a status from the Assumptions sheet list." type="list">
      <formula1>INDIRECT("'Assumptions'!$H$5:$H$8")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tabColor rgb="00246B63"/>
    <outlinePr summaryBelow="1" summaryRight="1"/>
    <pageSetUpPr fitToPage="1"/>
  </sheetPr>
  <dimension ref="A1:J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2" customWidth="1" min="3" max="3"/>
    <col width="22" customWidth="1" min="4" max="4"/>
    <col width="35" customWidth="1" min="5" max="5"/>
    <col width="19" customWidth="1" min="6" max="6"/>
    <col width="17" customWidth="1" min="7" max="7"/>
    <col width="21" customWidth="1" min="8" max="8"/>
    <col width="19" customWidth="1" min="9" max="9"/>
    <col width="19" customWidth="1" min="10" max="10"/>
  </cols>
  <sheetData>
    <row r="1" ht="28" customHeight="1">
      <c r="A1" s="1" t="inlineStr">
        <is>
          <t>Weekly Capacity Inputs</t>
        </is>
      </c>
    </row>
    <row r="2" ht="22" customHeight="1">
      <c r="A2" s="2" t="inlineStr">
        <is>
          <t>Yellow cells are editable. Alerts are planning prompts for human review and do not guarantee availability.</t>
        </is>
      </c>
    </row>
    <row r="3">
      <c r="A3" s="7" t="inlineStr">
        <is>
          <t>Week Start</t>
        </is>
      </c>
      <c r="B3" s="7" t="inlineStr">
        <is>
          <t>Available Staff Hours</t>
        </is>
      </c>
      <c r="C3" s="7" t="inlineStr">
        <is>
          <t>Available Facility Hours</t>
        </is>
      </c>
      <c r="D3" s="7" t="inlineStr">
        <is>
          <t>Lead Assignment</t>
        </is>
      </c>
      <c r="E3" s="7" t="inlineStr">
        <is>
          <t>Capacity Note</t>
        </is>
      </c>
      <c r="F3" s="7" t="inlineStr">
        <is>
          <t>Booked Staff Hours</t>
        </is>
      </c>
      <c r="G3" s="7" t="inlineStr">
        <is>
          <t>Staff Headroom</t>
        </is>
      </c>
      <c r="H3" s="7" t="inlineStr">
        <is>
          <t>Booked Facility Hours</t>
        </is>
      </c>
      <c r="I3" s="7" t="inlineStr">
        <is>
          <t>Facility Headroom</t>
        </is>
      </c>
      <c r="J3" s="7" t="inlineStr">
        <is>
          <t>Capacity Check</t>
        </is>
      </c>
    </row>
    <row r="4">
      <c r="A4" s="17" t="n">
        <v>46272</v>
      </c>
      <c r="B4" s="19" t="n">
        <v>32</v>
      </c>
      <c r="C4" s="19" t="n">
        <v>30</v>
      </c>
      <c r="D4" s="18" t="inlineStr">
        <is>
          <t>Fictional Team Maple</t>
        </is>
      </c>
      <c r="E4" s="18" t="inlineStr">
        <is>
          <t>Draft weekly staffing and space estimate.</t>
        </is>
      </c>
      <c r="F4" s="9">
        <f>IF($A4="","",SUMIFS(Bookings!$J$4:$J$103,Bookings!$B$4:$B$103,$A4))</f>
        <v/>
      </c>
      <c r="G4" s="9">
        <f>IF(OR($A4="",$B4=""),"",IFERROR($B4-$F4,""))</f>
        <v/>
      </c>
      <c r="H4" s="9">
        <f>IF($A4="","",SUMIFS(Bookings!$K$4:$K$103,Bookings!$B$4:$B$103,$A4))</f>
        <v/>
      </c>
      <c r="I4" s="9">
        <f>IF(OR($A4="",$C4=""),"",IFERROR($C4-$H4,""))</f>
        <v/>
      </c>
      <c r="J4" s="20">
        <f>IF($A4="","",IF(OR($B4="",$C4=""),"Enter capacity",IF(OR(AND($F4&gt;0,$F4&gt;=$B4),AND($H4&gt;0,$H4&gt;=$C4)),"Over capacity",IF(OR(IFERROR($F4/$B4,0)&gt;=Assumptions!$B$7,IFERROR($H4/$C4,0)&gt;=Assumptions!$B$7),"Check near limit","Within capacity"))))</f>
        <v/>
      </c>
    </row>
    <row r="5">
      <c r="A5" s="17" t="n">
        <v>46279</v>
      </c>
      <c r="B5" s="19" t="n">
        <v>16</v>
      </c>
      <c r="C5" s="19" t="n">
        <v>48</v>
      </c>
      <c r="D5" s="18" t="inlineStr">
        <is>
          <t>Fictional Team Birch</t>
        </is>
      </c>
      <c r="E5" s="18" t="inlineStr">
        <is>
          <t>Near-limit staff example.</t>
        </is>
      </c>
      <c r="F5" s="13">
        <f>IF($A5="","",SUMIFS(Bookings!$J$4:$J$103,Bookings!$B$4:$B$103,$A5))</f>
        <v/>
      </c>
      <c r="G5" s="13">
        <f>IF(OR($A5="",$B5=""),"",IFERROR($B5-$F5,""))</f>
        <v/>
      </c>
      <c r="H5" s="13">
        <f>IF($A5="","",SUMIFS(Bookings!$K$4:$K$103,Bookings!$B$4:$B$103,$A5))</f>
        <v/>
      </c>
      <c r="I5" s="13">
        <f>IF(OR($A5="",$C5=""),"",IFERROR($C5-$H5,""))</f>
        <v/>
      </c>
      <c r="J5" s="21">
        <f>IF($A5="","",IF(OR($B5="",$C5=""),"Enter capacity",IF(OR(AND($F5&gt;0,$F5&gt;=$B5),AND($H5&gt;0,$H5&gt;=$C5)),"Over capacity",IF(OR(IFERROR($F5/$B5,0)&gt;=Assumptions!$B$7,IFERROR($H5/$C5,0)&gt;=Assumptions!$B$7),"Check near limit","Within capacity"))))</f>
        <v/>
      </c>
    </row>
    <row r="6">
      <c r="A6" s="17" t="n">
        <v>46286</v>
      </c>
      <c r="B6" s="19" t="n">
        <v>34</v>
      </c>
      <c r="C6" s="19" t="n">
        <v>25</v>
      </c>
      <c r="D6" s="18" t="inlineStr">
        <is>
          <t>Fictional Team Cedar</t>
        </is>
      </c>
      <c r="E6" s="18" t="inlineStr">
        <is>
          <t>Busy-week capacity example.</t>
        </is>
      </c>
      <c r="F6" s="9">
        <f>IF($A6="","",SUMIFS(Bookings!$J$4:$J$103,Bookings!$B$4:$B$103,$A6))</f>
        <v/>
      </c>
      <c r="G6" s="9">
        <f>IF(OR($A6="",$B6=""),"",IFERROR($B6-$F6,""))</f>
        <v/>
      </c>
      <c r="H6" s="9">
        <f>IF($A6="","",SUMIFS(Bookings!$K$4:$K$103,Bookings!$B$4:$B$103,$A6))</f>
        <v/>
      </c>
      <c r="I6" s="9">
        <f>IF(OR($A6="",$C6=""),"",IFERROR($C6-$H6,""))</f>
        <v/>
      </c>
      <c r="J6" s="20">
        <f>IF($A6="","",IF(OR($B6="",$C6=""),"Enter capacity",IF(OR(AND($F6&gt;0,$F6&gt;=$B6),AND($H6&gt;0,$H6&gt;=$C6)),"Over capacity",IF(OR(IFERROR($F6/$B6,0)&gt;=Assumptions!$B$7,IFERROR($H6/$C6,0)&gt;=Assumptions!$B$7),"Check near limit","Within capacity"))))</f>
        <v/>
      </c>
    </row>
    <row r="7">
      <c r="A7" s="17" t="n">
        <v>46293</v>
      </c>
      <c r="B7" s="19" t="n">
        <v>18</v>
      </c>
      <c r="C7" s="19" t="n">
        <v>12</v>
      </c>
      <c r="D7" s="18" t="inlineStr">
        <is>
          <t>Fictional Team Maple</t>
        </is>
      </c>
      <c r="E7" s="18" t="inlineStr">
        <is>
          <t>Includes off-site service hours.</t>
        </is>
      </c>
      <c r="F7" s="13">
        <f>IF($A7="","",SUMIFS(Bookings!$J$4:$J$103,Bookings!$B$4:$B$103,$A7))</f>
        <v/>
      </c>
      <c r="G7" s="13">
        <f>IF(OR($A7="",$B7=""),"",IFERROR($B7-$F7,""))</f>
        <v/>
      </c>
      <c r="H7" s="13">
        <f>IF($A7="","",SUMIFS(Bookings!$K$4:$K$103,Bookings!$B$4:$B$103,$A7))</f>
        <v/>
      </c>
      <c r="I7" s="13">
        <f>IF(OR($A7="",$C7=""),"",IFERROR($C7-$H7,""))</f>
        <v/>
      </c>
      <c r="J7" s="21">
        <f>IF($A7="","",IF(OR($B7="",$C7=""),"Enter capacity",IF(OR(AND($F7&gt;0,$F7&gt;=$B7),AND($H7&gt;0,$H7&gt;=$C7)),"Over capacity",IF(OR(IFERROR($F7/$B7,0)&gt;=Assumptions!$B$7,IFERROR($H7/$C7,0)&gt;=Assumptions!$B$7),"Check near limit","Within capacity"))))</f>
        <v/>
      </c>
    </row>
    <row r="8">
      <c r="A8" s="17" t="n">
        <v>46300</v>
      </c>
      <c r="B8" s="19" t="n">
        <v>0</v>
      </c>
      <c r="C8" s="19" t="n">
        <v>12</v>
      </c>
      <c r="D8" s="18" t="inlineStr">
        <is>
          <t>Fictional Team Birch</t>
        </is>
      </c>
      <c r="E8" s="18" t="inlineStr">
        <is>
          <t>Zero staff-hours boundary example.</t>
        </is>
      </c>
      <c r="F8" s="9">
        <f>IF($A8="","",SUMIFS(Bookings!$J$4:$J$103,Bookings!$B$4:$B$103,$A8))</f>
        <v/>
      </c>
      <c r="G8" s="9">
        <f>IF(OR($A8="",$B8=""),"",IFERROR($B8-$F8,""))</f>
        <v/>
      </c>
      <c r="H8" s="9">
        <f>IF($A8="","",SUMIFS(Bookings!$K$4:$K$103,Bookings!$B$4:$B$103,$A8))</f>
        <v/>
      </c>
      <c r="I8" s="9">
        <f>IF(OR($A8="",$C8=""),"",IFERROR($C8-$H8,""))</f>
        <v/>
      </c>
      <c r="J8" s="20">
        <f>IF($A8="","",IF(OR($B8="",$C8=""),"Enter capacity",IF(OR(AND($F8&gt;0,$F8&gt;=$B8),AND($H8&gt;0,$H8&gt;=$C8)),"Over capacity",IF(OR(IFERROR($F8/$B8,0)&gt;=Assumptions!$B$7,IFERROR($H8/$C8,0)&gt;=Assumptions!$B$7),"Check near limit","Within capacity"))))</f>
        <v/>
      </c>
    </row>
    <row r="9">
      <c r="A9" s="17" t="n">
        <v>46307</v>
      </c>
      <c r="B9" s="19" t="n">
        <v>24</v>
      </c>
      <c r="C9" s="19" t="n">
        <v>20</v>
      </c>
      <c r="D9" s="18" t="inlineStr">
        <is>
          <t>Fictional Team Cedar</t>
        </is>
      </c>
      <c r="E9" s="18" t="inlineStr">
        <is>
          <t>No booking demand entered yet.</t>
        </is>
      </c>
      <c r="F9" s="13">
        <f>IF($A9="","",SUMIFS(Bookings!$J$4:$J$103,Bookings!$B$4:$B$103,$A9))</f>
        <v/>
      </c>
      <c r="G9" s="13">
        <f>IF(OR($A9="",$B9=""),"",IFERROR($B9-$F9,""))</f>
        <v/>
      </c>
      <c r="H9" s="13">
        <f>IF($A9="","",SUMIFS(Bookings!$K$4:$K$103,Bookings!$B$4:$B$103,$A9))</f>
        <v/>
      </c>
      <c r="I9" s="13">
        <f>IF(OR($A9="",$C9=""),"",IFERROR($C9-$H9,""))</f>
        <v/>
      </c>
      <c r="J9" s="21">
        <f>IF($A9="","",IF(OR($B9="",$C9=""),"Enter capacity",IF(OR(AND($F9&gt;0,$F9&gt;=$B9),AND($H9&gt;0,$H9&gt;=$C9)),"Over capacity",IF(OR(IFERROR($F9/$B9,0)&gt;=Assumptions!$B$7,IFERROR($H9/$C9,0)&gt;=Assumptions!$B$7),"Check near limit","Within capacity"))))</f>
        <v/>
      </c>
    </row>
    <row r="10">
      <c r="A10" s="17" t="n">
        <v>46314</v>
      </c>
      <c r="B10" s="19" t="n">
        <v>28</v>
      </c>
      <c r="C10" s="19" t="n">
        <v>24</v>
      </c>
      <c r="D10" s="18" t="inlineStr">
        <is>
          <t>Fictional Team Maple</t>
        </is>
      </c>
      <c r="E10" s="18" t="inlineStr">
        <is>
          <t>Draft open capacity.</t>
        </is>
      </c>
      <c r="F10" s="9">
        <f>IF($A10="","",SUMIFS(Bookings!$J$4:$J$103,Bookings!$B$4:$B$103,$A10))</f>
        <v/>
      </c>
      <c r="G10" s="9">
        <f>IF(OR($A10="",$B10=""),"",IFERROR($B10-$F10,""))</f>
        <v/>
      </c>
      <c r="H10" s="9">
        <f>IF($A10="","",SUMIFS(Bookings!$K$4:$K$103,Bookings!$B$4:$B$103,$A10))</f>
        <v/>
      </c>
      <c r="I10" s="9">
        <f>IF(OR($A10="",$C10=""),"",IFERROR($C10-$H10,""))</f>
        <v/>
      </c>
      <c r="J10" s="20">
        <f>IF($A10="","",IF(OR($B10="",$C10=""),"Enter capacity",IF(OR(AND($F10&gt;0,$F10&gt;=$B10),AND($H10&gt;0,$H10&gt;=$C10)),"Over capacity",IF(OR(IFERROR($F10/$B10,0)&gt;=Assumptions!$B$7,IFERROR($H10/$C10,0)&gt;=Assumptions!$B$7),"Check near limit","Within capacity"))))</f>
        <v/>
      </c>
    </row>
    <row r="11">
      <c r="A11" s="17" t="n">
        <v>46321</v>
      </c>
      <c r="B11" s="19" t="n">
        <v>6</v>
      </c>
      <c r="C11" s="19" t="n">
        <v>8</v>
      </c>
      <c r="D11" s="18" t="inlineStr">
        <is>
          <t>Fictional Team Birch</t>
        </is>
      </c>
      <c r="E11" s="18" t="inlineStr">
        <is>
          <t>Exact staff-capacity boundary example.</t>
        </is>
      </c>
      <c r="F11" s="13">
        <f>IF($A11="","",SUMIFS(Bookings!$J$4:$J$103,Bookings!$B$4:$B$103,$A11))</f>
        <v/>
      </c>
      <c r="G11" s="13">
        <f>IF(OR($A11="",$B11=""),"",IFERROR($B11-$F11,""))</f>
        <v/>
      </c>
      <c r="H11" s="13">
        <f>IF($A11="","",SUMIFS(Bookings!$K$4:$K$103,Bookings!$B$4:$B$103,$A11))</f>
        <v/>
      </c>
      <c r="I11" s="13">
        <f>IF(OR($A11="",$C11=""),"",IFERROR($C11-$H11,""))</f>
        <v/>
      </c>
      <c r="J11" s="21">
        <f>IF($A11="","",IF(OR($B11="",$C11=""),"Enter capacity",IF(OR(AND($F11&gt;0,$F11&gt;=$B11),AND($H11&gt;0,$H11&gt;=$C11)),"Over capacity",IF(OR(IFERROR($F11/$B11,0)&gt;=Assumptions!$B$7,IFERROR($H11/$C11,0)&gt;=Assumptions!$B$7),"Check near limit","Within capacity"))))</f>
        <v/>
      </c>
    </row>
    <row r="12">
      <c r="A12" s="17" t="n">
        <v>46328</v>
      </c>
      <c r="B12" s="19" t="n">
        <v>30</v>
      </c>
      <c r="C12" s="19" t="n">
        <v>28</v>
      </c>
      <c r="D12" s="18" t="inlineStr">
        <is>
          <t>Fictional Team Cedar</t>
        </is>
      </c>
      <c r="E12" s="18" t="inlineStr">
        <is>
          <t>Draft open capacity.</t>
        </is>
      </c>
      <c r="F12" s="9">
        <f>IF($A12="","",SUMIFS(Bookings!$J$4:$J$103,Bookings!$B$4:$B$103,$A12))</f>
        <v/>
      </c>
      <c r="G12" s="9">
        <f>IF(OR($A12="",$B12=""),"",IFERROR($B12-$F12,""))</f>
        <v/>
      </c>
      <c r="H12" s="9">
        <f>IF($A12="","",SUMIFS(Bookings!$K$4:$K$103,Bookings!$B$4:$B$103,$A12))</f>
        <v/>
      </c>
      <c r="I12" s="9">
        <f>IF(OR($A12="",$C12=""),"",IFERROR($C12-$H12,""))</f>
        <v/>
      </c>
      <c r="J12" s="20">
        <f>IF($A12="","",IF(OR($B12="",$C12=""),"Enter capacity",IF(OR(AND($F12&gt;0,$F12&gt;=$B12),AND($H12&gt;0,$H12&gt;=$C12)),"Over capacity",IF(OR(IFERROR($F12/$B12,0)&gt;=Assumptions!$B$7,IFERROR($H12/$C12,0)&gt;=Assumptions!$B$7),"Check near limit","Within capacity"))))</f>
        <v/>
      </c>
    </row>
    <row r="13">
      <c r="A13" s="17" t="n">
        <v>46335</v>
      </c>
      <c r="B13" s="19" t="n">
        <v>30</v>
      </c>
      <c r="C13" s="19" t="n">
        <v>28</v>
      </c>
      <c r="D13" s="18" t="inlineStr">
        <is>
          <t>Fictional Team Maple</t>
        </is>
      </c>
      <c r="E13" s="18" t="inlineStr">
        <is>
          <t>Draft open capacity.</t>
        </is>
      </c>
      <c r="F13" s="13">
        <f>IF($A13="","",SUMIFS(Bookings!$J$4:$J$103,Bookings!$B$4:$B$103,$A13))</f>
        <v/>
      </c>
      <c r="G13" s="13">
        <f>IF(OR($A13="",$B13=""),"",IFERROR($B13-$F13,""))</f>
        <v/>
      </c>
      <c r="H13" s="13">
        <f>IF($A13="","",SUMIFS(Bookings!$K$4:$K$103,Bookings!$B$4:$B$103,$A13))</f>
        <v/>
      </c>
      <c r="I13" s="13">
        <f>IF(OR($A13="",$C13=""),"",IFERROR($C13-$H13,""))</f>
        <v/>
      </c>
      <c r="J13" s="21">
        <f>IF($A13="","",IF(OR($B13="",$C13=""),"Enter capacity",IF(OR(AND($F13&gt;0,$F13&gt;=$B13),AND($H13&gt;0,$H13&gt;=$C13)),"Over capacity",IF(OR(IFERROR($F13/$B13,0)&gt;=Assumptions!$B$7,IFERROR($H13/$C13,0)&gt;=Assumptions!$B$7),"Check near limit","Within capacity"))))</f>
        <v/>
      </c>
    </row>
    <row r="14">
      <c r="A14" s="17" t="n"/>
      <c r="B14" s="19" t="n"/>
      <c r="C14" s="19" t="n"/>
      <c r="D14" s="18" t="n"/>
      <c r="E14" s="18" t="n"/>
      <c r="F14" s="9">
        <f>IF($A14="","",SUMIFS(Bookings!$J$4:$J$103,Bookings!$B$4:$B$103,$A14))</f>
        <v/>
      </c>
      <c r="G14" s="9">
        <f>IF(OR($A14="",$B14=""),"",IFERROR($B14-$F14,""))</f>
        <v/>
      </c>
      <c r="H14" s="9">
        <f>IF($A14="","",SUMIFS(Bookings!$K$4:$K$103,Bookings!$B$4:$B$103,$A14))</f>
        <v/>
      </c>
      <c r="I14" s="9">
        <f>IF(OR($A14="",$C14=""),"",IFERROR($C14-$H14,""))</f>
        <v/>
      </c>
      <c r="J14" s="20">
        <f>IF($A14="","",IF(OR($B14="",$C14=""),"Enter capacity",IF(OR(AND($F14&gt;0,$F14&gt;=$B14),AND($H14&gt;0,$H14&gt;=$C14)),"Over capacity",IF(OR(IFERROR($F14/$B14,0)&gt;=Assumptions!$B$7,IFERROR($H14/$C14,0)&gt;=Assumptions!$B$7),"Check near limit","Within capacity"))))</f>
        <v/>
      </c>
    </row>
    <row r="15">
      <c r="A15" s="17" t="n"/>
      <c r="B15" s="19" t="n"/>
      <c r="C15" s="19" t="n"/>
      <c r="D15" s="18" t="n"/>
      <c r="E15" s="18" t="n"/>
      <c r="F15" s="13">
        <f>IF($A15="","",SUMIFS(Bookings!$J$4:$J$103,Bookings!$B$4:$B$103,$A15))</f>
        <v/>
      </c>
      <c r="G15" s="13">
        <f>IF(OR($A15="",$B15=""),"",IFERROR($B15-$F15,""))</f>
        <v/>
      </c>
      <c r="H15" s="13">
        <f>IF($A15="","",SUMIFS(Bookings!$K$4:$K$103,Bookings!$B$4:$B$103,$A15))</f>
        <v/>
      </c>
      <c r="I15" s="13">
        <f>IF(OR($A15="",$C15=""),"",IFERROR($C15-$H15,""))</f>
        <v/>
      </c>
      <c r="J15" s="21">
        <f>IF($A15="","",IF(OR($B15="",$C15=""),"Enter capacity",IF(OR(AND($F15&gt;0,$F15&gt;=$B15),AND($H15&gt;0,$H15&gt;=$C15)),"Over capacity",IF(OR(IFERROR($F15/$B15,0)&gt;=Assumptions!$B$7,IFERROR($H15/$C15,0)&gt;=Assumptions!$B$7),"Check near limit","Within capacity"))))</f>
        <v/>
      </c>
    </row>
    <row r="16">
      <c r="A16" s="17" t="n"/>
      <c r="B16" s="19" t="n"/>
      <c r="C16" s="19" t="n"/>
      <c r="D16" s="18" t="n"/>
      <c r="E16" s="18" t="n"/>
      <c r="F16" s="9">
        <f>IF($A16="","",SUMIFS(Bookings!$J$4:$J$103,Bookings!$B$4:$B$103,$A16))</f>
        <v/>
      </c>
      <c r="G16" s="9">
        <f>IF(OR($A16="",$B16=""),"",IFERROR($B16-$F16,""))</f>
        <v/>
      </c>
      <c r="H16" s="9">
        <f>IF($A16="","",SUMIFS(Bookings!$K$4:$K$103,Bookings!$B$4:$B$103,$A16))</f>
        <v/>
      </c>
      <c r="I16" s="9">
        <f>IF(OR($A16="",$C16=""),"",IFERROR($C16-$H16,""))</f>
        <v/>
      </c>
      <c r="J16" s="20">
        <f>IF($A16="","",IF(OR($B16="",$C16=""),"Enter capacity",IF(OR(AND($F16&gt;0,$F16&gt;=$B16),AND($H16&gt;0,$H16&gt;=$C16)),"Over capacity",IF(OR(IFERROR($F16/$B16,0)&gt;=Assumptions!$B$7,IFERROR($H16/$C16,0)&gt;=Assumptions!$B$7),"Check near limit","Within capacity"))))</f>
        <v/>
      </c>
    </row>
    <row r="17">
      <c r="A17" s="17" t="n"/>
      <c r="B17" s="19" t="n"/>
      <c r="C17" s="19" t="n"/>
      <c r="D17" s="18" t="n"/>
      <c r="E17" s="18" t="n"/>
      <c r="F17" s="13">
        <f>IF($A17="","",SUMIFS(Bookings!$J$4:$J$103,Bookings!$B$4:$B$103,$A17))</f>
        <v/>
      </c>
      <c r="G17" s="13">
        <f>IF(OR($A17="",$B17=""),"",IFERROR($B17-$F17,""))</f>
        <v/>
      </c>
      <c r="H17" s="13">
        <f>IF($A17="","",SUMIFS(Bookings!$K$4:$K$103,Bookings!$B$4:$B$103,$A17))</f>
        <v/>
      </c>
      <c r="I17" s="13">
        <f>IF(OR($A17="",$C17=""),"",IFERROR($C17-$H17,""))</f>
        <v/>
      </c>
      <c r="J17" s="21">
        <f>IF($A17="","",IF(OR($B17="",$C17=""),"Enter capacity",IF(OR(AND($F17&gt;0,$F17&gt;=$B17),AND($H17&gt;0,$H17&gt;=$C17)),"Over capacity",IF(OR(IFERROR($F17/$B17,0)&gt;=Assumptions!$B$7,IFERROR($H17/$C17,0)&gt;=Assumptions!$B$7),"Check near limit","Within capacity"))))</f>
        <v/>
      </c>
    </row>
    <row r="18">
      <c r="A18" s="17" t="n"/>
      <c r="B18" s="19" t="n"/>
      <c r="C18" s="19" t="n"/>
      <c r="D18" s="18" t="n"/>
      <c r="E18" s="18" t="n"/>
      <c r="F18" s="9">
        <f>IF($A18="","",SUMIFS(Bookings!$J$4:$J$103,Bookings!$B$4:$B$103,$A18))</f>
        <v/>
      </c>
      <c r="G18" s="9">
        <f>IF(OR($A18="",$B18=""),"",IFERROR($B18-$F18,""))</f>
        <v/>
      </c>
      <c r="H18" s="9">
        <f>IF($A18="","",SUMIFS(Bookings!$K$4:$K$103,Bookings!$B$4:$B$103,$A18))</f>
        <v/>
      </c>
      <c r="I18" s="9">
        <f>IF(OR($A18="",$C18=""),"",IFERROR($C18-$H18,""))</f>
        <v/>
      </c>
      <c r="J18" s="20">
        <f>IF($A18="","",IF(OR($B18="",$C18=""),"Enter capacity",IF(OR(AND($F18&gt;0,$F18&gt;=$B18),AND($H18&gt;0,$H18&gt;=$C18)),"Over capacity",IF(OR(IFERROR($F18/$B18,0)&gt;=Assumptions!$B$7,IFERROR($H18/$C18,0)&gt;=Assumptions!$B$7),"Check near limit","Within capacity"))))</f>
        <v/>
      </c>
    </row>
    <row r="19">
      <c r="A19" s="17" t="n"/>
      <c r="B19" s="19" t="n"/>
      <c r="C19" s="19" t="n"/>
      <c r="D19" s="18" t="n"/>
      <c r="E19" s="18" t="n"/>
      <c r="F19" s="13">
        <f>IF($A19="","",SUMIFS(Bookings!$J$4:$J$103,Bookings!$B$4:$B$103,$A19))</f>
        <v/>
      </c>
      <c r="G19" s="13">
        <f>IF(OR($A19="",$B19=""),"",IFERROR($B19-$F19,""))</f>
        <v/>
      </c>
      <c r="H19" s="13">
        <f>IF($A19="","",SUMIFS(Bookings!$K$4:$K$103,Bookings!$B$4:$B$103,$A19))</f>
        <v/>
      </c>
      <c r="I19" s="13">
        <f>IF(OR($A19="",$C19=""),"",IFERROR($C19-$H19,""))</f>
        <v/>
      </c>
      <c r="J19" s="21">
        <f>IF($A19="","",IF(OR($B19="",$C19=""),"Enter capacity",IF(OR(AND($F19&gt;0,$F19&gt;=$B19),AND($H19&gt;0,$H19&gt;=$C19)),"Over capacity",IF(OR(IFERROR($F19/$B19,0)&gt;=Assumptions!$B$7,IFERROR($H19/$C19,0)&gt;=Assumptions!$B$7),"Check near limit","Within capacity"))))</f>
        <v/>
      </c>
    </row>
    <row r="20">
      <c r="A20" s="17" t="n"/>
      <c r="B20" s="19" t="n"/>
      <c r="C20" s="19" t="n"/>
      <c r="D20" s="18" t="n"/>
      <c r="E20" s="18" t="n"/>
      <c r="F20" s="9">
        <f>IF($A20="","",SUMIFS(Bookings!$J$4:$J$103,Bookings!$B$4:$B$103,$A20))</f>
        <v/>
      </c>
      <c r="G20" s="9">
        <f>IF(OR($A20="",$B20=""),"",IFERROR($B20-$F20,""))</f>
        <v/>
      </c>
      <c r="H20" s="9">
        <f>IF($A20="","",SUMIFS(Bookings!$K$4:$K$103,Bookings!$B$4:$B$103,$A20))</f>
        <v/>
      </c>
      <c r="I20" s="9">
        <f>IF(OR($A20="",$C20=""),"",IFERROR($C20-$H20,""))</f>
        <v/>
      </c>
      <c r="J20" s="20">
        <f>IF($A20="","",IF(OR($B20="",$C20=""),"Enter capacity",IF(OR(AND($F20&gt;0,$F20&gt;=$B20),AND($H20&gt;0,$H20&gt;=$C20)),"Over capacity",IF(OR(IFERROR($F20/$B20,0)&gt;=Assumptions!$B$7,IFERROR($H20/$C20,0)&gt;=Assumptions!$B$7),"Check near limit","Within capacity"))))</f>
        <v/>
      </c>
    </row>
    <row r="21">
      <c r="A21" s="17" t="n"/>
      <c r="B21" s="19" t="n"/>
      <c r="C21" s="19" t="n"/>
      <c r="D21" s="18" t="n"/>
      <c r="E21" s="18" t="n"/>
      <c r="F21" s="13">
        <f>IF($A21="","",SUMIFS(Bookings!$J$4:$J$103,Bookings!$B$4:$B$103,$A21))</f>
        <v/>
      </c>
      <c r="G21" s="13">
        <f>IF(OR($A21="",$B21=""),"",IFERROR($B21-$F21,""))</f>
        <v/>
      </c>
      <c r="H21" s="13">
        <f>IF($A21="","",SUMIFS(Bookings!$K$4:$K$103,Bookings!$B$4:$B$103,$A21))</f>
        <v/>
      </c>
      <c r="I21" s="13">
        <f>IF(OR($A21="",$C21=""),"",IFERROR($C21-$H21,""))</f>
        <v/>
      </c>
      <c r="J21" s="21">
        <f>IF($A21="","",IF(OR($B21="",$C21=""),"Enter capacity",IF(OR(AND($F21&gt;0,$F21&gt;=$B21),AND($H21&gt;0,$H21&gt;=$C21)),"Over capacity",IF(OR(IFERROR($F21/$B21,0)&gt;=Assumptions!$B$7,IFERROR($H21/$C21,0)&gt;=Assumptions!$B$7),"Check near limit","Within capacity"))))</f>
        <v/>
      </c>
    </row>
    <row r="22">
      <c r="A22" s="17" t="n"/>
      <c r="B22" s="19" t="n"/>
      <c r="C22" s="19" t="n"/>
      <c r="D22" s="18" t="n"/>
      <c r="E22" s="18" t="n"/>
      <c r="F22" s="9">
        <f>IF($A22="","",SUMIFS(Bookings!$J$4:$J$103,Bookings!$B$4:$B$103,$A22))</f>
        <v/>
      </c>
      <c r="G22" s="9">
        <f>IF(OR($A22="",$B22=""),"",IFERROR($B22-$F22,""))</f>
        <v/>
      </c>
      <c r="H22" s="9">
        <f>IF($A22="","",SUMIFS(Bookings!$K$4:$K$103,Bookings!$B$4:$B$103,$A22))</f>
        <v/>
      </c>
      <c r="I22" s="9">
        <f>IF(OR($A22="",$C22=""),"",IFERROR($C22-$H22,""))</f>
        <v/>
      </c>
      <c r="J22" s="20">
        <f>IF($A22="","",IF(OR($B22="",$C22=""),"Enter capacity",IF(OR(AND($F22&gt;0,$F22&gt;=$B22),AND($H22&gt;0,$H22&gt;=$C22)),"Over capacity",IF(OR(IFERROR($F22/$B22,0)&gt;=Assumptions!$B$7,IFERROR($H22/$C22,0)&gt;=Assumptions!$B$7),"Check near limit","Within capacity"))))</f>
        <v/>
      </c>
    </row>
    <row r="23">
      <c r="A23" s="17" t="n"/>
      <c r="B23" s="19" t="n"/>
      <c r="C23" s="19" t="n"/>
      <c r="D23" s="18" t="n"/>
      <c r="E23" s="18" t="n"/>
      <c r="F23" s="13">
        <f>IF($A23="","",SUMIFS(Bookings!$J$4:$J$103,Bookings!$B$4:$B$103,$A23))</f>
        <v/>
      </c>
      <c r="G23" s="13">
        <f>IF(OR($A23="",$B23=""),"",IFERROR($B23-$F23,""))</f>
        <v/>
      </c>
      <c r="H23" s="13">
        <f>IF($A23="","",SUMIFS(Bookings!$K$4:$K$103,Bookings!$B$4:$B$103,$A23))</f>
        <v/>
      </c>
      <c r="I23" s="13">
        <f>IF(OR($A23="",$C23=""),"",IFERROR($C23-$H23,""))</f>
        <v/>
      </c>
      <c r="J23" s="21">
        <f>IF($A23="","",IF(OR($B23="",$C23=""),"Enter capacity",IF(OR(AND($F23&gt;0,$F23&gt;=$B23),AND($H23&gt;0,$H23&gt;=$C23)),"Over capacity",IF(OR(IFERROR($F23/$B23,0)&gt;=Assumptions!$B$7,IFERROR($H23/$C23,0)&gt;=Assumptions!$B$7),"Check near limit","Within capacity"))))</f>
        <v/>
      </c>
    </row>
    <row r="24">
      <c r="A24" s="17" t="n"/>
      <c r="B24" s="19" t="n"/>
      <c r="C24" s="19" t="n"/>
      <c r="D24" s="18" t="n"/>
      <c r="E24" s="18" t="n"/>
      <c r="F24" s="9">
        <f>IF($A24="","",SUMIFS(Bookings!$J$4:$J$103,Bookings!$B$4:$B$103,$A24))</f>
        <v/>
      </c>
      <c r="G24" s="9">
        <f>IF(OR($A24="",$B24=""),"",IFERROR($B24-$F24,""))</f>
        <v/>
      </c>
      <c r="H24" s="9">
        <f>IF($A24="","",SUMIFS(Bookings!$K$4:$K$103,Bookings!$B$4:$B$103,$A24))</f>
        <v/>
      </c>
      <c r="I24" s="9">
        <f>IF(OR($A24="",$C24=""),"",IFERROR($C24-$H24,""))</f>
        <v/>
      </c>
      <c r="J24" s="20">
        <f>IF($A24="","",IF(OR($B24="",$C24=""),"Enter capacity",IF(OR(AND($F24&gt;0,$F24&gt;=$B24),AND($H24&gt;0,$H24&gt;=$C24)),"Over capacity",IF(OR(IFERROR($F24/$B24,0)&gt;=Assumptions!$B$7,IFERROR($H24/$C24,0)&gt;=Assumptions!$B$7),"Check near limit","Within capacity"))))</f>
        <v/>
      </c>
    </row>
    <row r="25">
      <c r="A25" s="17" t="n"/>
      <c r="B25" s="19" t="n"/>
      <c r="C25" s="19" t="n"/>
      <c r="D25" s="18" t="n"/>
      <c r="E25" s="18" t="n"/>
      <c r="F25" s="13">
        <f>IF($A25="","",SUMIFS(Bookings!$J$4:$J$103,Bookings!$B$4:$B$103,$A25))</f>
        <v/>
      </c>
      <c r="G25" s="13">
        <f>IF(OR($A25="",$B25=""),"",IFERROR($B25-$F25,""))</f>
        <v/>
      </c>
      <c r="H25" s="13">
        <f>IF($A25="","",SUMIFS(Bookings!$K$4:$K$103,Bookings!$B$4:$B$103,$A25))</f>
        <v/>
      </c>
      <c r="I25" s="13">
        <f>IF(OR($A25="",$C25=""),"",IFERROR($C25-$H25,""))</f>
        <v/>
      </c>
      <c r="J25" s="21">
        <f>IF($A25="","",IF(OR($B25="",$C25=""),"Enter capacity",IF(OR(AND($F25&gt;0,$F25&gt;=$B25),AND($H25&gt;0,$H25&gt;=$C25)),"Over capacity",IF(OR(IFERROR($F25/$B25,0)&gt;=Assumptions!$B$7,IFERROR($H25/$C25,0)&gt;=Assumptions!$B$7),"Check near limit","Within capacity"))))</f>
        <v/>
      </c>
    </row>
    <row r="26">
      <c r="A26" s="17" t="n"/>
      <c r="B26" s="19" t="n"/>
      <c r="C26" s="19" t="n"/>
      <c r="D26" s="18" t="n"/>
      <c r="E26" s="18" t="n"/>
      <c r="F26" s="9">
        <f>IF($A26="","",SUMIFS(Bookings!$J$4:$J$103,Bookings!$B$4:$B$103,$A26))</f>
        <v/>
      </c>
      <c r="G26" s="9">
        <f>IF(OR($A26="",$B26=""),"",IFERROR($B26-$F26,""))</f>
        <v/>
      </c>
      <c r="H26" s="9">
        <f>IF($A26="","",SUMIFS(Bookings!$K$4:$K$103,Bookings!$B$4:$B$103,$A26))</f>
        <v/>
      </c>
      <c r="I26" s="9">
        <f>IF(OR($A26="",$C26=""),"",IFERROR($C26-$H26,""))</f>
        <v/>
      </c>
      <c r="J26" s="20">
        <f>IF($A26="","",IF(OR($B26="",$C26=""),"Enter capacity",IF(OR(AND($F26&gt;0,$F26&gt;=$B26),AND($H26&gt;0,$H26&gt;=$C26)),"Over capacity",IF(OR(IFERROR($F26/$B26,0)&gt;=Assumptions!$B$7,IFERROR($H26/$C26,0)&gt;=Assumptions!$B$7),"Check near limit","Within capacity"))))</f>
        <v/>
      </c>
    </row>
    <row r="27">
      <c r="A27" s="17" t="n"/>
      <c r="B27" s="19" t="n"/>
      <c r="C27" s="19" t="n"/>
      <c r="D27" s="18" t="n"/>
      <c r="E27" s="18" t="n"/>
      <c r="F27" s="13">
        <f>IF($A27="","",SUMIFS(Bookings!$J$4:$J$103,Bookings!$B$4:$B$103,$A27))</f>
        <v/>
      </c>
      <c r="G27" s="13">
        <f>IF(OR($A27="",$B27=""),"",IFERROR($B27-$F27,""))</f>
        <v/>
      </c>
      <c r="H27" s="13">
        <f>IF($A27="","",SUMIFS(Bookings!$K$4:$K$103,Bookings!$B$4:$B$103,$A27))</f>
        <v/>
      </c>
      <c r="I27" s="13">
        <f>IF(OR($A27="",$C27=""),"",IFERROR($C27-$H27,""))</f>
        <v/>
      </c>
      <c r="J27" s="21">
        <f>IF($A27="","",IF(OR($B27="",$C27=""),"Enter capacity",IF(OR(AND($F27&gt;0,$F27&gt;=$B27),AND($H27&gt;0,$H27&gt;=$C27)),"Over capacity",IF(OR(IFERROR($F27/$B27,0)&gt;=Assumptions!$B$7,IFERROR($H27/$C27,0)&gt;=Assumptions!$B$7),"Check near limit","Within capacity"))))</f>
        <v/>
      </c>
    </row>
    <row r="28">
      <c r="A28" s="17" t="n"/>
      <c r="B28" s="19" t="n"/>
      <c r="C28" s="19" t="n"/>
      <c r="D28" s="18" t="n"/>
      <c r="E28" s="18" t="n"/>
      <c r="F28" s="9">
        <f>IF($A28="","",SUMIFS(Bookings!$J$4:$J$103,Bookings!$B$4:$B$103,$A28))</f>
        <v/>
      </c>
      <c r="G28" s="9">
        <f>IF(OR($A28="",$B28=""),"",IFERROR($B28-$F28,""))</f>
        <v/>
      </c>
      <c r="H28" s="9">
        <f>IF($A28="","",SUMIFS(Bookings!$K$4:$K$103,Bookings!$B$4:$B$103,$A28))</f>
        <v/>
      </c>
      <c r="I28" s="9">
        <f>IF(OR($A28="",$C28=""),"",IFERROR($C28-$H28,""))</f>
        <v/>
      </c>
      <c r="J28" s="20">
        <f>IF($A28="","",IF(OR($B28="",$C28=""),"Enter capacity",IF(OR(AND($F28&gt;0,$F28&gt;=$B28),AND($H28&gt;0,$H28&gt;=$C28)),"Over capacity",IF(OR(IFERROR($F28/$B28,0)&gt;=Assumptions!$B$7,IFERROR($H28/$C28,0)&gt;=Assumptions!$B$7),"Check near limit","Within capacity"))))</f>
        <v/>
      </c>
    </row>
    <row r="29">
      <c r="A29" s="17" t="n"/>
      <c r="B29" s="19" t="n"/>
      <c r="C29" s="19" t="n"/>
      <c r="D29" s="18" t="n"/>
      <c r="E29" s="18" t="n"/>
      <c r="F29" s="13">
        <f>IF($A29="","",SUMIFS(Bookings!$J$4:$J$103,Bookings!$B$4:$B$103,$A29))</f>
        <v/>
      </c>
      <c r="G29" s="13">
        <f>IF(OR($A29="",$B29=""),"",IFERROR($B29-$F29,""))</f>
        <v/>
      </c>
      <c r="H29" s="13">
        <f>IF($A29="","",SUMIFS(Bookings!$K$4:$K$103,Bookings!$B$4:$B$103,$A29))</f>
        <v/>
      </c>
      <c r="I29" s="13">
        <f>IF(OR($A29="",$C29=""),"",IFERROR($C29-$H29,""))</f>
        <v/>
      </c>
      <c r="J29" s="21">
        <f>IF($A29="","",IF(OR($B29="",$C29=""),"Enter capacity",IF(OR(AND($F29&gt;0,$F29&gt;=$B29),AND($H29&gt;0,$H29&gt;=$C29)),"Over capacity",IF(OR(IFERROR($F29/$B29,0)&gt;=Assumptions!$B$7,IFERROR($H29/$C29,0)&gt;=Assumptions!$B$7),"Check near limit","Within capacity"))))</f>
        <v/>
      </c>
    </row>
    <row r="30">
      <c r="A30" s="17" t="n"/>
      <c r="B30" s="19" t="n"/>
      <c r="C30" s="19" t="n"/>
      <c r="D30" s="18" t="n"/>
      <c r="E30" s="18" t="n"/>
      <c r="F30" s="9">
        <f>IF($A30="","",SUMIFS(Bookings!$J$4:$J$103,Bookings!$B$4:$B$103,$A30))</f>
        <v/>
      </c>
      <c r="G30" s="9">
        <f>IF(OR($A30="",$B30=""),"",IFERROR($B30-$F30,""))</f>
        <v/>
      </c>
      <c r="H30" s="9">
        <f>IF($A30="","",SUMIFS(Bookings!$K$4:$K$103,Bookings!$B$4:$B$103,$A30))</f>
        <v/>
      </c>
      <c r="I30" s="9">
        <f>IF(OR($A30="",$C30=""),"",IFERROR($C30-$H30,""))</f>
        <v/>
      </c>
      <c r="J30" s="20">
        <f>IF($A30="","",IF(OR($B30="",$C30=""),"Enter capacity",IF(OR(AND($F30&gt;0,$F30&gt;=$B30),AND($H30&gt;0,$H30&gt;=$C30)),"Over capacity",IF(OR(IFERROR($F30/$B30,0)&gt;=Assumptions!$B$7,IFERROR($H30/$C30,0)&gt;=Assumptions!$B$7),"Check near limit","Within capacity"))))</f>
        <v/>
      </c>
    </row>
    <row r="31">
      <c r="A31" s="17" t="n"/>
      <c r="B31" s="19" t="n"/>
      <c r="C31" s="19" t="n"/>
      <c r="D31" s="18" t="n"/>
      <c r="E31" s="18" t="n"/>
      <c r="F31" s="13">
        <f>IF($A31="","",SUMIFS(Bookings!$J$4:$J$103,Bookings!$B$4:$B$103,$A31))</f>
        <v/>
      </c>
      <c r="G31" s="13">
        <f>IF(OR($A31="",$B31=""),"",IFERROR($B31-$F31,""))</f>
        <v/>
      </c>
      <c r="H31" s="13">
        <f>IF($A31="","",SUMIFS(Bookings!$K$4:$K$103,Bookings!$B$4:$B$103,$A31))</f>
        <v/>
      </c>
      <c r="I31" s="13">
        <f>IF(OR($A31="",$C31=""),"",IFERROR($C31-$H31,""))</f>
        <v/>
      </c>
      <c r="J31" s="21">
        <f>IF($A31="","",IF(OR($B31="",$C31=""),"Enter capacity",IF(OR(AND($F31&gt;0,$F31&gt;=$B31),AND($H31&gt;0,$H31&gt;=$C31)),"Over capacity",IF(OR(IFERROR($F31/$B31,0)&gt;=Assumptions!$B$7,IFERROR($H31/$C31,0)&gt;=Assumptions!$B$7),"Check near limit","Within capacity"))))</f>
        <v/>
      </c>
    </row>
    <row r="32">
      <c r="A32" s="17" t="n"/>
      <c r="B32" s="19" t="n"/>
      <c r="C32" s="19" t="n"/>
      <c r="D32" s="18" t="n"/>
      <c r="E32" s="18" t="n"/>
      <c r="F32" s="9">
        <f>IF($A32="","",SUMIFS(Bookings!$J$4:$J$103,Bookings!$B$4:$B$103,$A32))</f>
        <v/>
      </c>
      <c r="G32" s="9">
        <f>IF(OR($A32="",$B32=""),"",IFERROR($B32-$F32,""))</f>
        <v/>
      </c>
      <c r="H32" s="9">
        <f>IF($A32="","",SUMIFS(Bookings!$K$4:$K$103,Bookings!$B$4:$B$103,$A32))</f>
        <v/>
      </c>
      <c r="I32" s="9">
        <f>IF(OR($A32="",$C32=""),"",IFERROR($C32-$H32,""))</f>
        <v/>
      </c>
      <c r="J32" s="20">
        <f>IF($A32="","",IF(OR($B32="",$C32=""),"Enter capacity",IF(OR(AND($F32&gt;0,$F32&gt;=$B32),AND($H32&gt;0,$H32&gt;=$C32)),"Over capacity",IF(OR(IFERROR($F32/$B32,0)&gt;=Assumptions!$B$7,IFERROR($H32/$C32,0)&gt;=Assumptions!$B$7),"Check near limit","Within capacity"))))</f>
        <v/>
      </c>
    </row>
    <row r="33">
      <c r="A33" s="17" t="n"/>
      <c r="B33" s="19" t="n"/>
      <c r="C33" s="19" t="n"/>
      <c r="D33" s="18" t="n"/>
      <c r="E33" s="18" t="n"/>
      <c r="F33" s="13">
        <f>IF($A33="","",SUMIFS(Bookings!$J$4:$J$103,Bookings!$B$4:$B$103,$A33))</f>
        <v/>
      </c>
      <c r="G33" s="13">
        <f>IF(OR($A33="",$B33=""),"",IFERROR($B33-$F33,""))</f>
        <v/>
      </c>
      <c r="H33" s="13">
        <f>IF($A33="","",SUMIFS(Bookings!$K$4:$K$103,Bookings!$B$4:$B$103,$A33))</f>
        <v/>
      </c>
      <c r="I33" s="13">
        <f>IF(OR($A33="",$C33=""),"",IFERROR($C33-$H33,""))</f>
        <v/>
      </c>
      <c r="J33" s="21">
        <f>IF($A33="","",IF(OR($B33="",$C33=""),"Enter capacity",IF(OR(AND($F33&gt;0,$F33&gt;=$B33),AND($H33&gt;0,$H33&gt;=$C33)),"Over capacity",IF(OR(IFERROR($F33/$B33,0)&gt;=Assumptions!$B$7,IFERROR($H33/$C33,0)&gt;=Assumptions!$B$7),"Check near limit","Within capacity"))))</f>
        <v/>
      </c>
    </row>
    <row r="34">
      <c r="A34" s="17" t="n"/>
      <c r="B34" s="19" t="n"/>
      <c r="C34" s="19" t="n"/>
      <c r="D34" s="18" t="n"/>
      <c r="E34" s="18" t="n"/>
      <c r="F34" s="9">
        <f>IF($A34="","",SUMIFS(Bookings!$J$4:$J$103,Bookings!$B$4:$B$103,$A34))</f>
        <v/>
      </c>
      <c r="G34" s="9">
        <f>IF(OR($A34="",$B34=""),"",IFERROR($B34-$F34,""))</f>
        <v/>
      </c>
      <c r="H34" s="9">
        <f>IF($A34="","",SUMIFS(Bookings!$K$4:$K$103,Bookings!$B$4:$B$103,$A34))</f>
        <v/>
      </c>
      <c r="I34" s="9">
        <f>IF(OR($A34="",$C34=""),"",IFERROR($C34-$H34,""))</f>
        <v/>
      </c>
      <c r="J34" s="20">
        <f>IF($A34="","",IF(OR($B34="",$C34=""),"Enter capacity",IF(OR(AND($F34&gt;0,$F34&gt;=$B34),AND($H34&gt;0,$H34&gt;=$C34)),"Over capacity",IF(OR(IFERROR($F34/$B34,0)&gt;=Assumptions!$B$7,IFERROR($H34/$C34,0)&gt;=Assumptions!$B$7),"Check near limit","Within capacity"))))</f>
        <v/>
      </c>
    </row>
    <row r="35">
      <c r="A35" s="17" t="n"/>
      <c r="B35" s="19" t="n"/>
      <c r="C35" s="19" t="n"/>
      <c r="D35" s="18" t="n"/>
      <c r="E35" s="18" t="n"/>
      <c r="F35" s="13">
        <f>IF($A35="","",SUMIFS(Bookings!$J$4:$J$103,Bookings!$B$4:$B$103,$A35))</f>
        <v/>
      </c>
      <c r="G35" s="13">
        <f>IF(OR($A35="",$B35=""),"",IFERROR($B35-$F35,""))</f>
        <v/>
      </c>
      <c r="H35" s="13">
        <f>IF($A35="","",SUMIFS(Bookings!$K$4:$K$103,Bookings!$B$4:$B$103,$A35))</f>
        <v/>
      </c>
      <c r="I35" s="13">
        <f>IF(OR($A35="",$C35=""),"",IFERROR($C35-$H35,""))</f>
        <v/>
      </c>
      <c r="J35" s="21">
        <f>IF($A35="","",IF(OR($B35="",$C35=""),"Enter capacity",IF(OR(AND($F35&gt;0,$F35&gt;=$B35),AND($H35&gt;0,$H35&gt;=$C35)),"Over capacity",IF(OR(IFERROR($F35/$B35,0)&gt;=Assumptions!$B$7,IFERROR($H35/$C35,0)&gt;=Assumptions!$B$7),"Check near limit","Within capacity"))))</f>
        <v/>
      </c>
    </row>
    <row r="36">
      <c r="A36" s="17" t="n"/>
      <c r="B36" s="19" t="n"/>
      <c r="C36" s="19" t="n"/>
      <c r="D36" s="18" t="n"/>
      <c r="E36" s="18" t="n"/>
      <c r="F36" s="9">
        <f>IF($A36="","",SUMIFS(Bookings!$J$4:$J$103,Bookings!$B$4:$B$103,$A36))</f>
        <v/>
      </c>
      <c r="G36" s="9">
        <f>IF(OR($A36="",$B36=""),"",IFERROR($B36-$F36,""))</f>
        <v/>
      </c>
      <c r="H36" s="9">
        <f>IF($A36="","",SUMIFS(Bookings!$K$4:$K$103,Bookings!$B$4:$B$103,$A36))</f>
        <v/>
      </c>
      <c r="I36" s="9">
        <f>IF(OR($A36="",$C36=""),"",IFERROR($C36-$H36,""))</f>
        <v/>
      </c>
      <c r="J36" s="20">
        <f>IF($A36="","",IF(OR($B36="",$C36=""),"Enter capacity",IF(OR(AND($F36&gt;0,$F36&gt;=$B36),AND($H36&gt;0,$H36&gt;=$C36)),"Over capacity",IF(OR(IFERROR($F36/$B36,0)&gt;=Assumptions!$B$7,IFERROR($H36/$C36,0)&gt;=Assumptions!$B$7),"Check near limit","Within capacity"))))</f>
        <v/>
      </c>
    </row>
    <row r="37">
      <c r="A37" s="17" t="n"/>
      <c r="B37" s="19" t="n"/>
      <c r="C37" s="19" t="n"/>
      <c r="D37" s="18" t="n"/>
      <c r="E37" s="18" t="n"/>
      <c r="F37" s="13">
        <f>IF($A37="","",SUMIFS(Bookings!$J$4:$J$103,Bookings!$B$4:$B$103,$A37))</f>
        <v/>
      </c>
      <c r="G37" s="13">
        <f>IF(OR($A37="",$B37=""),"",IFERROR($B37-$F37,""))</f>
        <v/>
      </c>
      <c r="H37" s="13">
        <f>IF($A37="","",SUMIFS(Bookings!$K$4:$K$103,Bookings!$B$4:$B$103,$A37))</f>
        <v/>
      </c>
      <c r="I37" s="13">
        <f>IF(OR($A37="",$C37=""),"",IFERROR($C37-$H37,""))</f>
        <v/>
      </c>
      <c r="J37" s="21">
        <f>IF($A37="","",IF(OR($B37="",$C37=""),"Enter capacity",IF(OR(AND($F37&gt;0,$F37&gt;=$B37),AND($H37&gt;0,$H37&gt;=$C37)),"Over capacity",IF(OR(IFERROR($F37/$B37,0)&gt;=Assumptions!$B$7,IFERROR($H37/$C37,0)&gt;=Assumptions!$B$7),"Check near limit","Within capacity"))))</f>
        <v/>
      </c>
    </row>
    <row r="38">
      <c r="A38" s="17" t="n"/>
      <c r="B38" s="19" t="n"/>
      <c r="C38" s="19" t="n"/>
      <c r="D38" s="18" t="n"/>
      <c r="E38" s="18" t="n"/>
      <c r="F38" s="9">
        <f>IF($A38="","",SUMIFS(Bookings!$J$4:$J$103,Bookings!$B$4:$B$103,$A38))</f>
        <v/>
      </c>
      <c r="G38" s="9">
        <f>IF(OR($A38="",$B38=""),"",IFERROR($B38-$F38,""))</f>
        <v/>
      </c>
      <c r="H38" s="9">
        <f>IF($A38="","",SUMIFS(Bookings!$K$4:$K$103,Bookings!$B$4:$B$103,$A38))</f>
        <v/>
      </c>
      <c r="I38" s="9">
        <f>IF(OR($A38="",$C38=""),"",IFERROR($C38-$H38,""))</f>
        <v/>
      </c>
      <c r="J38" s="20">
        <f>IF($A38="","",IF(OR($B38="",$C38=""),"Enter capacity",IF(OR(AND($F38&gt;0,$F38&gt;=$B38),AND($H38&gt;0,$H38&gt;=$C38)),"Over capacity",IF(OR(IFERROR($F38/$B38,0)&gt;=Assumptions!$B$7,IFERROR($H38/$C38,0)&gt;=Assumptions!$B$7),"Check near limit","Within capacity"))))</f>
        <v/>
      </c>
    </row>
    <row r="39">
      <c r="A39" s="17" t="n"/>
      <c r="B39" s="19" t="n"/>
      <c r="C39" s="19" t="n"/>
      <c r="D39" s="18" t="n"/>
      <c r="E39" s="18" t="n"/>
      <c r="F39" s="13">
        <f>IF($A39="","",SUMIFS(Bookings!$J$4:$J$103,Bookings!$B$4:$B$103,$A39))</f>
        <v/>
      </c>
      <c r="G39" s="13">
        <f>IF(OR($A39="",$B39=""),"",IFERROR($B39-$F39,""))</f>
        <v/>
      </c>
      <c r="H39" s="13">
        <f>IF($A39="","",SUMIFS(Bookings!$K$4:$K$103,Bookings!$B$4:$B$103,$A39))</f>
        <v/>
      </c>
      <c r="I39" s="13">
        <f>IF(OR($A39="",$C39=""),"",IFERROR($C39-$H39,""))</f>
        <v/>
      </c>
      <c r="J39" s="21">
        <f>IF($A39="","",IF(OR($B39="",$C39=""),"Enter capacity",IF(OR(AND($F39&gt;0,$F39&gt;=$B39),AND($H39&gt;0,$H39&gt;=$C39)),"Over capacity",IF(OR(IFERROR($F39/$B39,0)&gt;=Assumptions!$B$7,IFERROR($H39/$C39,0)&gt;=Assumptions!$B$7),"Check near limit","Within capacity"))))</f>
        <v/>
      </c>
    </row>
    <row r="40">
      <c r="A40" s="17" t="n"/>
      <c r="B40" s="19" t="n"/>
      <c r="C40" s="19" t="n"/>
      <c r="D40" s="18" t="n"/>
      <c r="E40" s="18" t="n"/>
      <c r="F40" s="9">
        <f>IF($A40="","",SUMIFS(Bookings!$J$4:$J$103,Bookings!$B$4:$B$103,$A40))</f>
        <v/>
      </c>
      <c r="G40" s="9">
        <f>IF(OR($A40="",$B40=""),"",IFERROR($B40-$F40,""))</f>
        <v/>
      </c>
      <c r="H40" s="9">
        <f>IF($A40="","",SUMIFS(Bookings!$K$4:$K$103,Bookings!$B$4:$B$103,$A40))</f>
        <v/>
      </c>
      <c r="I40" s="9">
        <f>IF(OR($A40="",$C40=""),"",IFERROR($C40-$H40,""))</f>
        <v/>
      </c>
      <c r="J40" s="20">
        <f>IF($A40="","",IF(OR($B40="",$C40=""),"Enter capacity",IF(OR(AND($F40&gt;0,$F40&gt;=$B40),AND($H40&gt;0,$H40&gt;=$C40)),"Over capacity",IF(OR(IFERROR($F40/$B40,0)&gt;=Assumptions!$B$7,IFERROR($H40/$C40,0)&gt;=Assumptions!$B$7),"Check near limit","Within capacity"))))</f>
        <v/>
      </c>
    </row>
    <row r="41">
      <c r="A41" s="17" t="n"/>
      <c r="B41" s="19" t="n"/>
      <c r="C41" s="19" t="n"/>
      <c r="D41" s="18" t="n"/>
      <c r="E41" s="18" t="n"/>
      <c r="F41" s="13">
        <f>IF($A41="","",SUMIFS(Bookings!$J$4:$J$103,Bookings!$B$4:$B$103,$A41))</f>
        <v/>
      </c>
      <c r="G41" s="13">
        <f>IF(OR($A41="",$B41=""),"",IFERROR($B41-$F41,""))</f>
        <v/>
      </c>
      <c r="H41" s="13">
        <f>IF($A41="","",SUMIFS(Bookings!$K$4:$K$103,Bookings!$B$4:$B$103,$A41))</f>
        <v/>
      </c>
      <c r="I41" s="13">
        <f>IF(OR($A41="",$C41=""),"",IFERROR($C41-$H41,""))</f>
        <v/>
      </c>
      <c r="J41" s="21">
        <f>IF($A41="","",IF(OR($B41="",$C41=""),"Enter capacity",IF(OR(AND($F41&gt;0,$F41&gt;=$B41),AND($H41&gt;0,$H41&gt;=$C41)),"Over capacity",IF(OR(IFERROR($F41/$B41,0)&gt;=Assumptions!$B$7,IFERROR($H41/$C41,0)&gt;=Assumptions!$B$7),"Check near limit","Within capacity"))))</f>
        <v/>
      </c>
    </row>
    <row r="42">
      <c r="A42" s="17" t="n"/>
      <c r="B42" s="19" t="n"/>
      <c r="C42" s="19" t="n"/>
      <c r="D42" s="18" t="n"/>
      <c r="E42" s="18" t="n"/>
      <c r="F42" s="9">
        <f>IF($A42="","",SUMIFS(Bookings!$J$4:$J$103,Bookings!$B$4:$B$103,$A42))</f>
        <v/>
      </c>
      <c r="G42" s="9">
        <f>IF(OR($A42="",$B42=""),"",IFERROR($B42-$F42,""))</f>
        <v/>
      </c>
      <c r="H42" s="9">
        <f>IF($A42="","",SUMIFS(Bookings!$K$4:$K$103,Bookings!$B$4:$B$103,$A42))</f>
        <v/>
      </c>
      <c r="I42" s="9">
        <f>IF(OR($A42="",$C42=""),"",IFERROR($C42-$H42,""))</f>
        <v/>
      </c>
      <c r="J42" s="20">
        <f>IF($A42="","",IF(OR($B42="",$C42=""),"Enter capacity",IF(OR(AND($F42&gt;0,$F42&gt;=$B42),AND($H42&gt;0,$H42&gt;=$C42)),"Over capacity",IF(OR(IFERROR($F42/$B42,0)&gt;=Assumptions!$B$7,IFERROR($H42/$C42,0)&gt;=Assumptions!$B$7),"Check near limit","Within capacity"))))</f>
        <v/>
      </c>
    </row>
    <row r="43">
      <c r="A43" s="17" t="n"/>
      <c r="B43" s="19" t="n"/>
      <c r="C43" s="19" t="n"/>
      <c r="D43" s="18" t="n"/>
      <c r="E43" s="18" t="n"/>
      <c r="F43" s="13">
        <f>IF($A43="","",SUMIFS(Bookings!$J$4:$J$103,Bookings!$B$4:$B$103,$A43))</f>
        <v/>
      </c>
      <c r="G43" s="13">
        <f>IF(OR($A43="",$B43=""),"",IFERROR($B43-$F43,""))</f>
        <v/>
      </c>
      <c r="H43" s="13">
        <f>IF($A43="","",SUMIFS(Bookings!$K$4:$K$103,Bookings!$B$4:$B$103,$A43))</f>
        <v/>
      </c>
      <c r="I43" s="13">
        <f>IF(OR($A43="",$C43=""),"",IFERROR($C43-$H43,""))</f>
        <v/>
      </c>
      <c r="J43" s="21">
        <f>IF($A43="","",IF(OR($B43="",$C43=""),"Enter capacity",IF(OR(AND($F43&gt;0,$F43&gt;=$B43),AND($H43&gt;0,$H43&gt;=$C43)),"Over capacity",IF(OR(IFERROR($F43/$B43,0)&gt;=Assumptions!$B$7,IFERROR($H43/$C43,0)&gt;=Assumptions!$B$7),"Check near limit","Within capacity"))))</f>
        <v/>
      </c>
    </row>
    <row r="44">
      <c r="A44" s="17" t="n"/>
      <c r="B44" s="19" t="n"/>
      <c r="C44" s="19" t="n"/>
      <c r="D44" s="18" t="n"/>
      <c r="E44" s="18" t="n"/>
      <c r="F44" s="9">
        <f>IF($A44="","",SUMIFS(Bookings!$J$4:$J$103,Bookings!$B$4:$B$103,$A44))</f>
        <v/>
      </c>
      <c r="G44" s="9">
        <f>IF(OR($A44="",$B44=""),"",IFERROR($B44-$F44,""))</f>
        <v/>
      </c>
      <c r="H44" s="9">
        <f>IF($A44="","",SUMIFS(Bookings!$K$4:$K$103,Bookings!$B$4:$B$103,$A44))</f>
        <v/>
      </c>
      <c r="I44" s="9">
        <f>IF(OR($A44="",$C44=""),"",IFERROR($C44-$H44,""))</f>
        <v/>
      </c>
      <c r="J44" s="20">
        <f>IF($A44="","",IF(OR($B44="",$C44=""),"Enter capacity",IF(OR(AND($F44&gt;0,$F44&gt;=$B44),AND($H44&gt;0,$H44&gt;=$C44)),"Over capacity",IF(OR(IFERROR($F44/$B44,0)&gt;=Assumptions!$B$7,IFERROR($H44/$C44,0)&gt;=Assumptions!$B$7),"Check near limit","Within capacity"))))</f>
        <v/>
      </c>
    </row>
    <row r="45">
      <c r="A45" s="17" t="n"/>
      <c r="B45" s="19" t="n"/>
      <c r="C45" s="19" t="n"/>
      <c r="D45" s="18" t="n"/>
      <c r="E45" s="18" t="n"/>
      <c r="F45" s="13">
        <f>IF($A45="","",SUMIFS(Bookings!$J$4:$J$103,Bookings!$B$4:$B$103,$A45))</f>
        <v/>
      </c>
      <c r="G45" s="13">
        <f>IF(OR($A45="",$B45=""),"",IFERROR($B45-$F45,""))</f>
        <v/>
      </c>
      <c r="H45" s="13">
        <f>IF($A45="","",SUMIFS(Bookings!$K$4:$K$103,Bookings!$B$4:$B$103,$A45))</f>
        <v/>
      </c>
      <c r="I45" s="13">
        <f>IF(OR($A45="",$C45=""),"",IFERROR($C45-$H45,""))</f>
        <v/>
      </c>
      <c r="J45" s="21">
        <f>IF($A45="","",IF(OR($B45="",$C45=""),"Enter capacity",IF(OR(AND($F45&gt;0,$F45&gt;=$B45),AND($H45&gt;0,$H45&gt;=$C45)),"Over capacity",IF(OR(IFERROR($F45/$B45,0)&gt;=Assumptions!$B$7,IFERROR($H45/$C45,0)&gt;=Assumptions!$B$7),"Check near limit","Within capacity"))))</f>
        <v/>
      </c>
    </row>
    <row r="46">
      <c r="A46" s="17" t="n"/>
      <c r="B46" s="19" t="n"/>
      <c r="C46" s="19" t="n"/>
      <c r="D46" s="18" t="n"/>
      <c r="E46" s="18" t="n"/>
      <c r="F46" s="9">
        <f>IF($A46="","",SUMIFS(Bookings!$J$4:$J$103,Bookings!$B$4:$B$103,$A46))</f>
        <v/>
      </c>
      <c r="G46" s="9">
        <f>IF(OR($A46="",$B46=""),"",IFERROR($B46-$F46,""))</f>
        <v/>
      </c>
      <c r="H46" s="9">
        <f>IF($A46="","",SUMIFS(Bookings!$K$4:$K$103,Bookings!$B$4:$B$103,$A46))</f>
        <v/>
      </c>
      <c r="I46" s="9">
        <f>IF(OR($A46="",$C46=""),"",IFERROR($C46-$H46,""))</f>
        <v/>
      </c>
      <c r="J46" s="20">
        <f>IF($A46="","",IF(OR($B46="",$C46=""),"Enter capacity",IF(OR(AND($F46&gt;0,$F46&gt;=$B46),AND($H46&gt;0,$H46&gt;=$C46)),"Over capacity",IF(OR(IFERROR($F46/$B46,0)&gt;=Assumptions!$B$7,IFERROR($H46/$C46,0)&gt;=Assumptions!$B$7),"Check near limit","Within capacity"))))</f>
        <v/>
      </c>
    </row>
    <row r="47">
      <c r="A47" s="17" t="n"/>
      <c r="B47" s="19" t="n"/>
      <c r="C47" s="19" t="n"/>
      <c r="D47" s="18" t="n"/>
      <c r="E47" s="18" t="n"/>
      <c r="F47" s="13">
        <f>IF($A47="","",SUMIFS(Bookings!$J$4:$J$103,Bookings!$B$4:$B$103,$A47))</f>
        <v/>
      </c>
      <c r="G47" s="13">
        <f>IF(OR($A47="",$B47=""),"",IFERROR($B47-$F47,""))</f>
        <v/>
      </c>
      <c r="H47" s="13">
        <f>IF($A47="","",SUMIFS(Bookings!$K$4:$K$103,Bookings!$B$4:$B$103,$A47))</f>
        <v/>
      </c>
      <c r="I47" s="13">
        <f>IF(OR($A47="",$C47=""),"",IFERROR($C47-$H47,""))</f>
        <v/>
      </c>
      <c r="J47" s="21">
        <f>IF($A47="","",IF(OR($B47="",$C47=""),"Enter capacity",IF(OR(AND($F47&gt;0,$F47&gt;=$B47),AND($H47&gt;0,$H47&gt;=$C47)),"Over capacity",IF(OR(IFERROR($F47/$B47,0)&gt;=Assumptions!$B$7,IFERROR($H47/$C47,0)&gt;=Assumptions!$B$7),"Check near limit","Within capacity"))))</f>
        <v/>
      </c>
    </row>
    <row r="48">
      <c r="A48" s="17" t="n"/>
      <c r="B48" s="19" t="n"/>
      <c r="C48" s="19" t="n"/>
      <c r="D48" s="18" t="n"/>
      <c r="E48" s="18" t="n"/>
      <c r="F48" s="9">
        <f>IF($A48="","",SUMIFS(Bookings!$J$4:$J$103,Bookings!$B$4:$B$103,$A48))</f>
        <v/>
      </c>
      <c r="G48" s="9">
        <f>IF(OR($A48="",$B48=""),"",IFERROR($B48-$F48,""))</f>
        <v/>
      </c>
      <c r="H48" s="9">
        <f>IF($A48="","",SUMIFS(Bookings!$K$4:$K$103,Bookings!$B$4:$B$103,$A48))</f>
        <v/>
      </c>
      <c r="I48" s="9">
        <f>IF(OR($A48="",$C48=""),"",IFERROR($C48-$H48,""))</f>
        <v/>
      </c>
      <c r="J48" s="20">
        <f>IF($A48="","",IF(OR($B48="",$C48=""),"Enter capacity",IF(OR(AND($F48&gt;0,$F48&gt;=$B48),AND($H48&gt;0,$H48&gt;=$C48)),"Over capacity",IF(OR(IFERROR($F48/$B48,0)&gt;=Assumptions!$B$7,IFERROR($H48/$C48,0)&gt;=Assumptions!$B$7),"Check near limit","Within capacity"))))</f>
        <v/>
      </c>
    </row>
    <row r="49">
      <c r="A49" s="17" t="n"/>
      <c r="B49" s="19" t="n"/>
      <c r="C49" s="19" t="n"/>
      <c r="D49" s="18" t="n"/>
      <c r="E49" s="18" t="n"/>
      <c r="F49" s="13">
        <f>IF($A49="","",SUMIFS(Bookings!$J$4:$J$103,Bookings!$B$4:$B$103,$A49))</f>
        <v/>
      </c>
      <c r="G49" s="13">
        <f>IF(OR($A49="",$B49=""),"",IFERROR($B49-$F49,""))</f>
        <v/>
      </c>
      <c r="H49" s="13">
        <f>IF($A49="","",SUMIFS(Bookings!$K$4:$K$103,Bookings!$B$4:$B$103,$A49))</f>
        <v/>
      </c>
      <c r="I49" s="13">
        <f>IF(OR($A49="",$C49=""),"",IFERROR($C49-$H49,""))</f>
        <v/>
      </c>
      <c r="J49" s="21">
        <f>IF($A49="","",IF(OR($B49="",$C49=""),"Enter capacity",IF(OR(AND($F49&gt;0,$F49&gt;=$B49),AND($H49&gt;0,$H49&gt;=$C49)),"Over capacity",IF(OR(IFERROR($F49/$B49,0)&gt;=Assumptions!$B$7,IFERROR($H49/$C49,0)&gt;=Assumptions!$B$7),"Check near limit","Within capacity"))))</f>
        <v/>
      </c>
    </row>
    <row r="50">
      <c r="A50" s="17" t="n"/>
      <c r="B50" s="19" t="n"/>
      <c r="C50" s="19" t="n"/>
      <c r="D50" s="18" t="n"/>
      <c r="E50" s="18" t="n"/>
      <c r="F50" s="9">
        <f>IF($A50="","",SUMIFS(Bookings!$J$4:$J$103,Bookings!$B$4:$B$103,$A50))</f>
        <v/>
      </c>
      <c r="G50" s="9">
        <f>IF(OR($A50="",$B50=""),"",IFERROR($B50-$F50,""))</f>
        <v/>
      </c>
      <c r="H50" s="9">
        <f>IF($A50="","",SUMIFS(Bookings!$K$4:$K$103,Bookings!$B$4:$B$103,$A50))</f>
        <v/>
      </c>
      <c r="I50" s="9">
        <f>IF(OR($A50="",$C50=""),"",IFERROR($C50-$H50,""))</f>
        <v/>
      </c>
      <c r="J50" s="20">
        <f>IF($A50="","",IF(OR($B50="",$C50=""),"Enter capacity",IF(OR(AND($F50&gt;0,$F50&gt;=$B50),AND($H50&gt;0,$H50&gt;=$C50)),"Over capacity",IF(OR(IFERROR($F50/$B50,0)&gt;=Assumptions!$B$7,IFERROR($H50/$C50,0)&gt;=Assumptions!$B$7),"Check near limit","Within capacity"))))</f>
        <v/>
      </c>
    </row>
    <row r="51">
      <c r="A51" s="17" t="n"/>
      <c r="B51" s="19" t="n"/>
      <c r="C51" s="19" t="n"/>
      <c r="D51" s="18" t="n"/>
      <c r="E51" s="18" t="n"/>
      <c r="F51" s="13">
        <f>IF($A51="","",SUMIFS(Bookings!$J$4:$J$103,Bookings!$B$4:$B$103,$A51))</f>
        <v/>
      </c>
      <c r="G51" s="13">
        <f>IF(OR($A51="",$B51=""),"",IFERROR($B51-$F51,""))</f>
        <v/>
      </c>
      <c r="H51" s="13">
        <f>IF($A51="","",SUMIFS(Bookings!$K$4:$K$103,Bookings!$B$4:$B$103,$A51))</f>
        <v/>
      </c>
      <c r="I51" s="13">
        <f>IF(OR($A51="",$C51=""),"",IFERROR($C51-$H51,""))</f>
        <v/>
      </c>
      <c r="J51" s="21">
        <f>IF($A51="","",IF(OR($B51="",$C51=""),"Enter capacity",IF(OR(AND($F51&gt;0,$F51&gt;=$B51),AND($H51&gt;0,$H51&gt;=$C51)),"Over capacity",IF(OR(IFERROR($F51/$B51,0)&gt;=Assumptions!$B$7,IFERROR($H51/$C51,0)&gt;=Assumptions!$B$7),"Check near limit","Within capacity"))))</f>
        <v/>
      </c>
    </row>
    <row r="52">
      <c r="A52" s="17" t="n"/>
      <c r="B52" s="19" t="n"/>
      <c r="C52" s="19" t="n"/>
      <c r="D52" s="18" t="n"/>
      <c r="E52" s="18" t="n"/>
      <c r="F52" s="9">
        <f>IF($A52="","",SUMIFS(Bookings!$J$4:$J$103,Bookings!$B$4:$B$103,$A52))</f>
        <v/>
      </c>
      <c r="G52" s="9">
        <f>IF(OR($A52="",$B52=""),"",IFERROR($B52-$F52,""))</f>
        <v/>
      </c>
      <c r="H52" s="9">
        <f>IF($A52="","",SUMIFS(Bookings!$K$4:$K$103,Bookings!$B$4:$B$103,$A52))</f>
        <v/>
      </c>
      <c r="I52" s="9">
        <f>IF(OR($A52="",$C52=""),"",IFERROR($C52-$H52,""))</f>
        <v/>
      </c>
      <c r="J52" s="20">
        <f>IF($A52="","",IF(OR($B52="",$C52=""),"Enter capacity",IF(OR(AND($F52&gt;0,$F52&gt;=$B52),AND($H52&gt;0,$H52&gt;=$C52)),"Over capacity",IF(OR(IFERROR($F52/$B52,0)&gt;=Assumptions!$B$7,IFERROR($H52/$C52,0)&gt;=Assumptions!$B$7),"Check near limit","Within capacity"))))</f>
        <v/>
      </c>
    </row>
    <row r="53">
      <c r="A53" s="17" t="n"/>
      <c r="B53" s="19" t="n"/>
      <c r="C53" s="19" t="n"/>
      <c r="D53" s="18" t="n"/>
      <c r="E53" s="18" t="n"/>
      <c r="F53" s="13">
        <f>IF($A53="","",SUMIFS(Bookings!$J$4:$J$103,Bookings!$B$4:$B$103,$A53))</f>
        <v/>
      </c>
      <c r="G53" s="13">
        <f>IF(OR($A53="",$B53=""),"",IFERROR($B53-$F53,""))</f>
        <v/>
      </c>
      <c r="H53" s="13">
        <f>IF($A53="","",SUMIFS(Bookings!$K$4:$K$103,Bookings!$B$4:$B$103,$A53))</f>
        <v/>
      </c>
      <c r="I53" s="13">
        <f>IF(OR($A53="",$C53=""),"",IFERROR($C53-$H53,""))</f>
        <v/>
      </c>
      <c r="J53" s="21">
        <f>IF($A53="","",IF(OR($B53="",$C53=""),"Enter capacity",IF(OR(AND($F53&gt;0,$F53&gt;=$B53),AND($H53&gt;0,$H53&gt;=$C53)),"Over capacity",IF(OR(IFERROR($F53/$B53,0)&gt;=Assumptions!$B$7,IFERROR($H53/$C53,0)&gt;=Assumptions!$B$7),"Check near limit","Within capacity"))))</f>
        <v/>
      </c>
    </row>
    <row r="54">
      <c r="A54" s="17" t="n"/>
      <c r="B54" s="19" t="n"/>
      <c r="C54" s="19" t="n"/>
      <c r="D54" s="18" t="n"/>
      <c r="E54" s="18" t="n"/>
      <c r="F54" s="9">
        <f>IF($A54="","",SUMIFS(Bookings!$J$4:$J$103,Bookings!$B$4:$B$103,$A54))</f>
        <v/>
      </c>
      <c r="G54" s="9">
        <f>IF(OR($A54="",$B54=""),"",IFERROR($B54-$F54,""))</f>
        <v/>
      </c>
      <c r="H54" s="9">
        <f>IF($A54="","",SUMIFS(Bookings!$K$4:$K$103,Bookings!$B$4:$B$103,$A54))</f>
        <v/>
      </c>
      <c r="I54" s="9">
        <f>IF(OR($A54="",$C54=""),"",IFERROR($C54-$H54,""))</f>
        <v/>
      </c>
      <c r="J54" s="20">
        <f>IF($A54="","",IF(OR($B54="",$C54=""),"Enter capacity",IF(OR(AND($F54&gt;0,$F54&gt;=$B54),AND($H54&gt;0,$H54&gt;=$C54)),"Over capacity",IF(OR(IFERROR($F54/$B54,0)&gt;=Assumptions!$B$7,IFERROR($H54/$C54,0)&gt;=Assumptions!$B$7),"Check near limit","Within capacity"))))</f>
        <v/>
      </c>
    </row>
    <row r="55">
      <c r="A55" s="17" t="n"/>
      <c r="B55" s="19" t="n"/>
      <c r="C55" s="19" t="n"/>
      <c r="D55" s="18" t="n"/>
      <c r="E55" s="18" t="n"/>
      <c r="F55" s="13">
        <f>IF($A55="","",SUMIFS(Bookings!$J$4:$J$103,Bookings!$B$4:$B$103,$A55))</f>
        <v/>
      </c>
      <c r="G55" s="13">
        <f>IF(OR($A55="",$B55=""),"",IFERROR($B55-$F55,""))</f>
        <v/>
      </c>
      <c r="H55" s="13">
        <f>IF($A55="","",SUMIFS(Bookings!$K$4:$K$103,Bookings!$B$4:$B$103,$A55))</f>
        <v/>
      </c>
      <c r="I55" s="13">
        <f>IF(OR($A55="",$C55=""),"",IFERROR($C55-$H55,""))</f>
        <v/>
      </c>
      <c r="J55" s="21">
        <f>IF($A55="","",IF(OR($B55="",$C55=""),"Enter capacity",IF(OR(AND($F55&gt;0,$F55&gt;=$B55),AND($H55&gt;0,$H55&gt;=$C55)),"Over capacity",IF(OR(IFERROR($F55/$B55,0)&gt;=Assumptions!$B$7,IFERROR($H55/$C55,0)&gt;=Assumptions!$B$7),"Check near limit","Within capacity"))))</f>
        <v/>
      </c>
    </row>
    <row r="56">
      <c r="A56" s="17" t="n"/>
      <c r="B56" s="19" t="n"/>
      <c r="C56" s="19" t="n"/>
      <c r="D56" s="18" t="n"/>
      <c r="E56" s="18" t="n"/>
      <c r="F56" s="9">
        <f>IF($A56="","",SUMIFS(Bookings!$J$4:$J$103,Bookings!$B$4:$B$103,$A56))</f>
        <v/>
      </c>
      <c r="G56" s="9">
        <f>IF(OR($A56="",$B56=""),"",IFERROR($B56-$F56,""))</f>
        <v/>
      </c>
      <c r="H56" s="9">
        <f>IF($A56="","",SUMIFS(Bookings!$K$4:$K$103,Bookings!$B$4:$B$103,$A56))</f>
        <v/>
      </c>
      <c r="I56" s="9">
        <f>IF(OR($A56="",$C56=""),"",IFERROR($C56-$H56,""))</f>
        <v/>
      </c>
      <c r="J56" s="20">
        <f>IF($A56="","",IF(OR($B56="",$C56=""),"Enter capacity",IF(OR(AND($F56&gt;0,$F56&gt;=$B56),AND($H56&gt;0,$H56&gt;=$C56)),"Over capacity",IF(OR(IFERROR($F56/$B56,0)&gt;=Assumptions!$B$7,IFERROR($H56/$C56,0)&gt;=Assumptions!$B$7),"Check near limit","Within capacity"))))</f>
        <v/>
      </c>
    </row>
    <row r="57">
      <c r="A57" s="17" t="n"/>
      <c r="B57" s="19" t="n"/>
      <c r="C57" s="19" t="n"/>
      <c r="D57" s="18" t="n"/>
      <c r="E57" s="18" t="n"/>
      <c r="F57" s="13">
        <f>IF($A57="","",SUMIFS(Bookings!$J$4:$J$103,Bookings!$B$4:$B$103,$A57))</f>
        <v/>
      </c>
      <c r="G57" s="13">
        <f>IF(OR($A57="",$B57=""),"",IFERROR($B57-$F57,""))</f>
        <v/>
      </c>
      <c r="H57" s="13">
        <f>IF($A57="","",SUMIFS(Bookings!$K$4:$K$103,Bookings!$B$4:$B$103,$A57))</f>
        <v/>
      </c>
      <c r="I57" s="13">
        <f>IF(OR($A57="",$C57=""),"",IFERROR($C57-$H57,""))</f>
        <v/>
      </c>
      <c r="J57" s="21">
        <f>IF($A57="","",IF(OR($B57="",$C57=""),"Enter capacity",IF(OR(AND($F57&gt;0,$F57&gt;=$B57),AND($H57&gt;0,$H57&gt;=$C57)),"Over capacity",IF(OR(IFERROR($F57/$B57,0)&gt;=Assumptions!$B$7,IFERROR($H57/$C57,0)&gt;=Assumptions!$B$7),"Check near limit","Within capacity"))))</f>
        <v/>
      </c>
    </row>
    <row r="58">
      <c r="A58" s="17" t="n"/>
      <c r="B58" s="19" t="n"/>
      <c r="C58" s="19" t="n"/>
      <c r="D58" s="18" t="n"/>
      <c r="E58" s="18" t="n"/>
      <c r="F58" s="9">
        <f>IF($A58="","",SUMIFS(Bookings!$J$4:$J$103,Bookings!$B$4:$B$103,$A58))</f>
        <v/>
      </c>
      <c r="G58" s="9">
        <f>IF(OR($A58="",$B58=""),"",IFERROR($B58-$F58,""))</f>
        <v/>
      </c>
      <c r="H58" s="9">
        <f>IF($A58="","",SUMIFS(Bookings!$K$4:$K$103,Bookings!$B$4:$B$103,$A58))</f>
        <v/>
      </c>
      <c r="I58" s="9">
        <f>IF(OR($A58="",$C58=""),"",IFERROR($C58-$H58,""))</f>
        <v/>
      </c>
      <c r="J58" s="20">
        <f>IF($A58="","",IF(OR($B58="",$C58=""),"Enter capacity",IF(OR(AND($F58&gt;0,$F58&gt;=$B58),AND($H58&gt;0,$H58&gt;=$C58)),"Over capacity",IF(OR(IFERROR($F58/$B58,0)&gt;=Assumptions!$B$7,IFERROR($H58/$C58,0)&gt;=Assumptions!$B$7),"Check near limit","Within capacity"))))</f>
        <v/>
      </c>
    </row>
    <row r="59">
      <c r="A59" s="17" t="n"/>
      <c r="B59" s="19" t="n"/>
      <c r="C59" s="19" t="n"/>
      <c r="D59" s="18" t="n"/>
      <c r="E59" s="18" t="n"/>
      <c r="F59" s="13">
        <f>IF($A59="","",SUMIFS(Bookings!$J$4:$J$103,Bookings!$B$4:$B$103,$A59))</f>
        <v/>
      </c>
      <c r="G59" s="13">
        <f>IF(OR($A59="",$B59=""),"",IFERROR($B59-$F59,""))</f>
        <v/>
      </c>
      <c r="H59" s="13">
        <f>IF($A59="","",SUMIFS(Bookings!$K$4:$K$103,Bookings!$B$4:$B$103,$A59))</f>
        <v/>
      </c>
      <c r="I59" s="13">
        <f>IF(OR($A59="",$C59=""),"",IFERROR($C59-$H59,""))</f>
        <v/>
      </c>
      <c r="J59" s="21">
        <f>IF($A59="","",IF(OR($B59="",$C59=""),"Enter capacity",IF(OR(AND($F59&gt;0,$F59&gt;=$B59),AND($H59&gt;0,$H59&gt;=$C59)),"Over capacity",IF(OR(IFERROR($F59/$B59,0)&gt;=Assumptions!$B$7,IFERROR($H59/$C59,0)&gt;=Assumptions!$B$7),"Check near limit","Within capacity"))))</f>
        <v/>
      </c>
    </row>
    <row r="60">
      <c r="A60" s="17" t="n"/>
      <c r="B60" s="19" t="n"/>
      <c r="C60" s="19" t="n"/>
      <c r="D60" s="18" t="n"/>
      <c r="E60" s="18" t="n"/>
      <c r="F60" s="9">
        <f>IF($A60="","",SUMIFS(Bookings!$J$4:$J$103,Bookings!$B$4:$B$103,$A60))</f>
        <v/>
      </c>
      <c r="G60" s="9">
        <f>IF(OR($A60="",$B60=""),"",IFERROR($B60-$F60,""))</f>
        <v/>
      </c>
      <c r="H60" s="9">
        <f>IF($A60="","",SUMIFS(Bookings!$K$4:$K$103,Bookings!$B$4:$B$103,$A60))</f>
        <v/>
      </c>
      <c r="I60" s="9">
        <f>IF(OR($A60="",$C60=""),"",IFERROR($C60-$H60,""))</f>
        <v/>
      </c>
      <c r="J60" s="20">
        <f>IF($A60="","",IF(OR($B60="",$C60=""),"Enter capacity",IF(OR(AND($F60&gt;0,$F60&gt;=$B60),AND($H60&gt;0,$H60&gt;=$C60)),"Over capacity",IF(OR(IFERROR($F60/$B60,0)&gt;=Assumptions!$B$7,IFERROR($H60/$C60,0)&gt;=Assumptions!$B$7),"Check near limit","Within capacity"))))</f>
        <v/>
      </c>
    </row>
    <row r="61">
      <c r="A61" s="17" t="n"/>
      <c r="B61" s="19" t="n"/>
      <c r="C61" s="19" t="n"/>
      <c r="D61" s="18" t="n"/>
      <c r="E61" s="18" t="n"/>
      <c r="F61" s="13">
        <f>IF($A61="","",SUMIFS(Bookings!$J$4:$J$103,Bookings!$B$4:$B$103,$A61))</f>
        <v/>
      </c>
      <c r="G61" s="13">
        <f>IF(OR($A61="",$B61=""),"",IFERROR($B61-$F61,""))</f>
        <v/>
      </c>
      <c r="H61" s="13">
        <f>IF($A61="","",SUMIFS(Bookings!$K$4:$K$103,Bookings!$B$4:$B$103,$A61))</f>
        <v/>
      </c>
      <c r="I61" s="13">
        <f>IF(OR($A61="",$C61=""),"",IFERROR($C61-$H61,""))</f>
        <v/>
      </c>
      <c r="J61" s="21">
        <f>IF($A61="","",IF(OR($B61="",$C61=""),"Enter capacity",IF(OR(AND($F61&gt;0,$F61&gt;=$B61),AND($H61&gt;0,$H61&gt;=$C61)),"Over capacity",IF(OR(IFERROR($F61/$B61,0)&gt;=Assumptions!$B$7,IFERROR($H61/$C61,0)&gt;=Assumptions!$B$7),"Check near limit","Within capacity"))))</f>
        <v/>
      </c>
    </row>
    <row r="62">
      <c r="A62" s="17" t="n"/>
      <c r="B62" s="19" t="n"/>
      <c r="C62" s="19" t="n"/>
      <c r="D62" s="18" t="n"/>
      <c r="E62" s="18" t="n"/>
      <c r="F62" s="9">
        <f>IF($A62="","",SUMIFS(Bookings!$J$4:$J$103,Bookings!$B$4:$B$103,$A62))</f>
        <v/>
      </c>
      <c r="G62" s="9">
        <f>IF(OR($A62="",$B62=""),"",IFERROR($B62-$F62,""))</f>
        <v/>
      </c>
      <c r="H62" s="9">
        <f>IF($A62="","",SUMIFS(Bookings!$K$4:$K$103,Bookings!$B$4:$B$103,$A62))</f>
        <v/>
      </c>
      <c r="I62" s="9">
        <f>IF(OR($A62="",$C62=""),"",IFERROR($C62-$H62,""))</f>
        <v/>
      </c>
      <c r="J62" s="20">
        <f>IF($A62="","",IF(OR($B62="",$C62=""),"Enter capacity",IF(OR(AND($F62&gt;0,$F62&gt;=$B62),AND($H62&gt;0,$H62&gt;=$C62)),"Over capacity",IF(OR(IFERROR($F62/$B62,0)&gt;=Assumptions!$B$7,IFERROR($H62/$C62,0)&gt;=Assumptions!$B$7),"Check near limit","Within capacity"))))</f>
        <v/>
      </c>
    </row>
    <row r="63">
      <c r="A63" s="17" t="n"/>
      <c r="B63" s="19" t="n"/>
      <c r="C63" s="19" t="n"/>
      <c r="D63" s="18" t="n"/>
      <c r="E63" s="18" t="n"/>
      <c r="F63" s="13">
        <f>IF($A63="","",SUMIFS(Bookings!$J$4:$J$103,Bookings!$B$4:$B$103,$A63))</f>
        <v/>
      </c>
      <c r="G63" s="13">
        <f>IF(OR($A63="",$B63=""),"",IFERROR($B63-$F63,""))</f>
        <v/>
      </c>
      <c r="H63" s="13">
        <f>IF($A63="","",SUMIFS(Bookings!$K$4:$K$103,Bookings!$B$4:$B$103,$A63))</f>
        <v/>
      </c>
      <c r="I63" s="13">
        <f>IF(OR($A63="",$C63=""),"",IFERROR($C63-$H63,""))</f>
        <v/>
      </c>
      <c r="J63" s="21">
        <f>IF($A63="","",IF(OR($B63="",$C63=""),"Enter capacity",IF(OR(AND($F63&gt;0,$F63&gt;=$B63),AND($H63&gt;0,$H63&gt;=$C63)),"Over capacity",IF(OR(IFERROR($F63/$B63,0)&gt;=Assumptions!$B$7,IFERROR($H63/$C63,0)&gt;=Assumptions!$B$7),"Check near limit","Within capacity"))))</f>
        <v/>
      </c>
    </row>
    <row r="64">
      <c r="A64" s="17" t="n"/>
      <c r="B64" s="19" t="n"/>
      <c r="C64" s="19" t="n"/>
      <c r="D64" s="18" t="n"/>
      <c r="E64" s="18" t="n"/>
      <c r="F64" s="9">
        <f>IF($A64="","",SUMIFS(Bookings!$J$4:$J$103,Bookings!$B$4:$B$103,$A64))</f>
        <v/>
      </c>
      <c r="G64" s="9">
        <f>IF(OR($A64="",$B64=""),"",IFERROR($B64-$F64,""))</f>
        <v/>
      </c>
      <c r="H64" s="9">
        <f>IF($A64="","",SUMIFS(Bookings!$K$4:$K$103,Bookings!$B$4:$B$103,$A64))</f>
        <v/>
      </c>
      <c r="I64" s="9">
        <f>IF(OR($A64="",$C64=""),"",IFERROR($C64-$H64,""))</f>
        <v/>
      </c>
      <c r="J64" s="20">
        <f>IF($A64="","",IF(OR($B64="",$C64=""),"Enter capacity",IF(OR(AND($F64&gt;0,$F64&gt;=$B64),AND($H64&gt;0,$H64&gt;=$C64)),"Over capacity",IF(OR(IFERROR($F64/$B64,0)&gt;=Assumptions!$B$7,IFERROR($H64/$C64,0)&gt;=Assumptions!$B$7),"Check near limit","Within capacity"))))</f>
        <v/>
      </c>
    </row>
    <row r="65">
      <c r="A65" s="17" t="n"/>
      <c r="B65" s="19" t="n"/>
      <c r="C65" s="19" t="n"/>
      <c r="D65" s="18" t="n"/>
      <c r="E65" s="18" t="n"/>
      <c r="F65" s="13">
        <f>IF($A65="","",SUMIFS(Bookings!$J$4:$J$103,Bookings!$B$4:$B$103,$A65))</f>
        <v/>
      </c>
      <c r="G65" s="13">
        <f>IF(OR($A65="",$B65=""),"",IFERROR($B65-$F65,""))</f>
        <v/>
      </c>
      <c r="H65" s="13">
        <f>IF($A65="","",SUMIFS(Bookings!$K$4:$K$103,Bookings!$B$4:$B$103,$A65))</f>
        <v/>
      </c>
      <c r="I65" s="13">
        <f>IF(OR($A65="",$C65=""),"",IFERROR($C65-$H65,""))</f>
        <v/>
      </c>
      <c r="J65" s="21">
        <f>IF($A65="","",IF(OR($B65="",$C65=""),"Enter capacity",IF(OR(AND($F65&gt;0,$F65&gt;=$B65),AND($H65&gt;0,$H65&gt;=$C65)),"Over capacity",IF(OR(IFERROR($F65/$B65,0)&gt;=Assumptions!$B$7,IFERROR($H65/$C65,0)&gt;=Assumptions!$B$7),"Check near limit","Within capacity"))))</f>
        <v/>
      </c>
    </row>
    <row r="66">
      <c r="A66" s="17" t="n"/>
      <c r="B66" s="19" t="n"/>
      <c r="C66" s="19" t="n"/>
      <c r="D66" s="18" t="n"/>
      <c r="E66" s="18" t="n"/>
      <c r="F66" s="9">
        <f>IF($A66="","",SUMIFS(Bookings!$J$4:$J$103,Bookings!$B$4:$B$103,$A66))</f>
        <v/>
      </c>
      <c r="G66" s="9">
        <f>IF(OR($A66="",$B66=""),"",IFERROR($B66-$F66,""))</f>
        <v/>
      </c>
      <c r="H66" s="9">
        <f>IF($A66="","",SUMIFS(Bookings!$K$4:$K$103,Bookings!$B$4:$B$103,$A66))</f>
        <v/>
      </c>
      <c r="I66" s="9">
        <f>IF(OR($A66="",$C66=""),"",IFERROR($C66-$H66,""))</f>
        <v/>
      </c>
      <c r="J66" s="20">
        <f>IF($A66="","",IF(OR($B66="",$C66=""),"Enter capacity",IF(OR(AND($F66&gt;0,$F66&gt;=$B66),AND($H66&gt;0,$H66&gt;=$C66)),"Over capacity",IF(OR(IFERROR($F66/$B66,0)&gt;=Assumptions!$B$7,IFERROR($H66/$C66,0)&gt;=Assumptions!$B$7),"Check near limit","Within capacity"))))</f>
        <v/>
      </c>
    </row>
    <row r="67">
      <c r="A67" s="17" t="n"/>
      <c r="B67" s="19" t="n"/>
      <c r="C67" s="19" t="n"/>
      <c r="D67" s="18" t="n"/>
      <c r="E67" s="18" t="n"/>
      <c r="F67" s="13">
        <f>IF($A67="","",SUMIFS(Bookings!$J$4:$J$103,Bookings!$B$4:$B$103,$A67))</f>
        <v/>
      </c>
      <c r="G67" s="13">
        <f>IF(OR($A67="",$B67=""),"",IFERROR($B67-$F67,""))</f>
        <v/>
      </c>
      <c r="H67" s="13">
        <f>IF($A67="","",SUMIFS(Bookings!$K$4:$K$103,Bookings!$B$4:$B$103,$A67))</f>
        <v/>
      </c>
      <c r="I67" s="13">
        <f>IF(OR($A67="",$C67=""),"",IFERROR($C67-$H67,""))</f>
        <v/>
      </c>
      <c r="J67" s="21">
        <f>IF($A67="","",IF(OR($B67="",$C67=""),"Enter capacity",IF(OR(AND($F67&gt;0,$F67&gt;=$B67),AND($H67&gt;0,$H67&gt;=$C67)),"Over capacity",IF(OR(IFERROR($F67/$B67,0)&gt;=Assumptions!$B$7,IFERROR($H67/$C67,0)&gt;=Assumptions!$B$7),"Check near limit","Within capacity"))))</f>
        <v/>
      </c>
    </row>
    <row r="68">
      <c r="A68" s="17" t="n"/>
      <c r="B68" s="19" t="n"/>
      <c r="C68" s="19" t="n"/>
      <c r="D68" s="18" t="n"/>
      <c r="E68" s="18" t="n"/>
      <c r="F68" s="9">
        <f>IF($A68="","",SUMIFS(Bookings!$J$4:$J$103,Bookings!$B$4:$B$103,$A68))</f>
        <v/>
      </c>
      <c r="G68" s="9">
        <f>IF(OR($A68="",$B68=""),"",IFERROR($B68-$F68,""))</f>
        <v/>
      </c>
      <c r="H68" s="9">
        <f>IF($A68="","",SUMIFS(Bookings!$K$4:$K$103,Bookings!$B$4:$B$103,$A68))</f>
        <v/>
      </c>
      <c r="I68" s="9">
        <f>IF(OR($A68="",$C68=""),"",IFERROR($C68-$H68,""))</f>
        <v/>
      </c>
      <c r="J68" s="20">
        <f>IF($A68="","",IF(OR($B68="",$C68=""),"Enter capacity",IF(OR(AND($F68&gt;0,$F68&gt;=$B68),AND($H68&gt;0,$H68&gt;=$C68)),"Over capacity",IF(OR(IFERROR($F68/$B68,0)&gt;=Assumptions!$B$7,IFERROR($H68/$C68,0)&gt;=Assumptions!$B$7),"Check near limit","Within capacity"))))</f>
        <v/>
      </c>
    </row>
    <row r="69">
      <c r="A69" s="17" t="n"/>
      <c r="B69" s="19" t="n"/>
      <c r="C69" s="19" t="n"/>
      <c r="D69" s="18" t="n"/>
      <c r="E69" s="18" t="n"/>
      <c r="F69" s="13">
        <f>IF($A69="","",SUMIFS(Bookings!$J$4:$J$103,Bookings!$B$4:$B$103,$A69))</f>
        <v/>
      </c>
      <c r="G69" s="13">
        <f>IF(OR($A69="",$B69=""),"",IFERROR($B69-$F69,""))</f>
        <v/>
      </c>
      <c r="H69" s="13">
        <f>IF($A69="","",SUMIFS(Bookings!$K$4:$K$103,Bookings!$B$4:$B$103,$A69))</f>
        <v/>
      </c>
      <c r="I69" s="13">
        <f>IF(OR($A69="",$C69=""),"",IFERROR($C69-$H69,""))</f>
        <v/>
      </c>
      <c r="J69" s="21">
        <f>IF($A69="","",IF(OR($B69="",$C69=""),"Enter capacity",IF(OR(AND($F69&gt;0,$F69&gt;=$B69),AND($H69&gt;0,$H69&gt;=$C69)),"Over capacity",IF(OR(IFERROR($F69/$B69,0)&gt;=Assumptions!$B$7,IFERROR($H69/$C69,0)&gt;=Assumptions!$B$7),"Check near limit","Within capacity"))))</f>
        <v/>
      </c>
    </row>
    <row r="70">
      <c r="A70" s="17" t="n"/>
      <c r="B70" s="19" t="n"/>
      <c r="C70" s="19" t="n"/>
      <c r="D70" s="18" t="n"/>
      <c r="E70" s="18" t="n"/>
      <c r="F70" s="9">
        <f>IF($A70="","",SUMIFS(Bookings!$J$4:$J$103,Bookings!$B$4:$B$103,$A70))</f>
        <v/>
      </c>
      <c r="G70" s="9">
        <f>IF(OR($A70="",$B70=""),"",IFERROR($B70-$F70,""))</f>
        <v/>
      </c>
      <c r="H70" s="9">
        <f>IF($A70="","",SUMIFS(Bookings!$K$4:$K$103,Bookings!$B$4:$B$103,$A70))</f>
        <v/>
      </c>
      <c r="I70" s="9">
        <f>IF(OR($A70="",$C70=""),"",IFERROR($C70-$H70,""))</f>
        <v/>
      </c>
      <c r="J70" s="20">
        <f>IF($A70="","",IF(OR($B70="",$C70=""),"Enter capacity",IF(OR(AND($F70&gt;0,$F70&gt;=$B70),AND($H70&gt;0,$H70&gt;=$C70)),"Over capacity",IF(OR(IFERROR($F70/$B70,0)&gt;=Assumptions!$B$7,IFERROR($H70/$C70,0)&gt;=Assumptions!$B$7),"Check near limit","Within capacity"))))</f>
        <v/>
      </c>
    </row>
    <row r="71">
      <c r="A71" s="17" t="n"/>
      <c r="B71" s="19" t="n"/>
      <c r="C71" s="19" t="n"/>
      <c r="D71" s="18" t="n"/>
      <c r="E71" s="18" t="n"/>
      <c r="F71" s="13">
        <f>IF($A71="","",SUMIFS(Bookings!$J$4:$J$103,Bookings!$B$4:$B$103,$A71))</f>
        <v/>
      </c>
      <c r="G71" s="13">
        <f>IF(OR($A71="",$B71=""),"",IFERROR($B71-$F71,""))</f>
        <v/>
      </c>
      <c r="H71" s="13">
        <f>IF($A71="","",SUMIFS(Bookings!$K$4:$K$103,Bookings!$B$4:$B$103,$A71))</f>
        <v/>
      </c>
      <c r="I71" s="13">
        <f>IF(OR($A71="",$C71=""),"",IFERROR($C71-$H71,""))</f>
        <v/>
      </c>
      <c r="J71" s="21">
        <f>IF($A71="","",IF(OR($B71="",$C71=""),"Enter capacity",IF(OR(AND($F71&gt;0,$F71&gt;=$B71),AND($H71&gt;0,$H71&gt;=$C71)),"Over capacity",IF(OR(IFERROR($F71/$B71,0)&gt;=Assumptions!$B$7,IFERROR($H71/$C71,0)&gt;=Assumptions!$B$7),"Check near limit","Within capacity"))))</f>
        <v/>
      </c>
    </row>
    <row r="72">
      <c r="A72" s="17" t="n"/>
      <c r="B72" s="19" t="n"/>
      <c r="C72" s="19" t="n"/>
      <c r="D72" s="18" t="n"/>
      <c r="E72" s="18" t="n"/>
      <c r="F72" s="9">
        <f>IF($A72="","",SUMIFS(Bookings!$J$4:$J$103,Bookings!$B$4:$B$103,$A72))</f>
        <v/>
      </c>
      <c r="G72" s="9">
        <f>IF(OR($A72="",$B72=""),"",IFERROR($B72-$F72,""))</f>
        <v/>
      </c>
      <c r="H72" s="9">
        <f>IF($A72="","",SUMIFS(Bookings!$K$4:$K$103,Bookings!$B$4:$B$103,$A72))</f>
        <v/>
      </c>
      <c r="I72" s="9">
        <f>IF(OR($A72="",$C72=""),"",IFERROR($C72-$H72,""))</f>
        <v/>
      </c>
      <c r="J72" s="20">
        <f>IF($A72="","",IF(OR($B72="",$C72=""),"Enter capacity",IF(OR(AND($F72&gt;0,$F72&gt;=$B72),AND($H72&gt;0,$H72&gt;=$C72)),"Over capacity",IF(OR(IFERROR($F72/$B72,0)&gt;=Assumptions!$B$7,IFERROR($H72/$C72,0)&gt;=Assumptions!$B$7),"Check near limit","Within capacity"))))</f>
        <v/>
      </c>
    </row>
    <row r="73">
      <c r="A73" s="17" t="n"/>
      <c r="B73" s="19" t="n"/>
      <c r="C73" s="19" t="n"/>
      <c r="D73" s="18" t="n"/>
      <c r="E73" s="18" t="n"/>
      <c r="F73" s="13">
        <f>IF($A73="","",SUMIFS(Bookings!$J$4:$J$103,Bookings!$B$4:$B$103,$A73))</f>
        <v/>
      </c>
      <c r="G73" s="13">
        <f>IF(OR($A73="",$B73=""),"",IFERROR($B73-$F73,""))</f>
        <v/>
      </c>
      <c r="H73" s="13">
        <f>IF($A73="","",SUMIFS(Bookings!$K$4:$K$103,Bookings!$B$4:$B$103,$A73))</f>
        <v/>
      </c>
      <c r="I73" s="13">
        <f>IF(OR($A73="",$C73=""),"",IFERROR($C73-$H73,""))</f>
        <v/>
      </c>
      <c r="J73" s="21">
        <f>IF($A73="","",IF(OR($B73="",$C73=""),"Enter capacity",IF(OR(AND($F73&gt;0,$F73&gt;=$B73),AND($H73&gt;0,$H73&gt;=$C73)),"Over capacity",IF(OR(IFERROR($F73/$B73,0)&gt;=Assumptions!$B$7,IFERROR($H73/$C73,0)&gt;=Assumptions!$B$7),"Check near limit","Within capacity"))))</f>
        <v/>
      </c>
    </row>
    <row r="74">
      <c r="A74" s="17" t="n"/>
      <c r="B74" s="19" t="n"/>
      <c r="C74" s="19" t="n"/>
      <c r="D74" s="18" t="n"/>
      <c r="E74" s="18" t="n"/>
      <c r="F74" s="9">
        <f>IF($A74="","",SUMIFS(Bookings!$J$4:$J$103,Bookings!$B$4:$B$103,$A74))</f>
        <v/>
      </c>
      <c r="G74" s="9">
        <f>IF(OR($A74="",$B74=""),"",IFERROR($B74-$F74,""))</f>
        <v/>
      </c>
      <c r="H74" s="9">
        <f>IF($A74="","",SUMIFS(Bookings!$K$4:$K$103,Bookings!$B$4:$B$103,$A74))</f>
        <v/>
      </c>
      <c r="I74" s="9">
        <f>IF(OR($A74="",$C74=""),"",IFERROR($C74-$H74,""))</f>
        <v/>
      </c>
      <c r="J74" s="20">
        <f>IF($A74="","",IF(OR($B74="",$C74=""),"Enter capacity",IF(OR(AND($F74&gt;0,$F74&gt;=$B74),AND($H74&gt;0,$H74&gt;=$C74)),"Over capacity",IF(OR(IFERROR($F74/$B74,0)&gt;=Assumptions!$B$7,IFERROR($H74/$C74,0)&gt;=Assumptions!$B$7),"Check near limit","Within capacity"))))</f>
        <v/>
      </c>
    </row>
    <row r="75">
      <c r="A75" s="17" t="n"/>
      <c r="B75" s="19" t="n"/>
      <c r="C75" s="19" t="n"/>
      <c r="D75" s="18" t="n"/>
      <c r="E75" s="18" t="n"/>
      <c r="F75" s="13">
        <f>IF($A75="","",SUMIFS(Bookings!$J$4:$J$103,Bookings!$B$4:$B$103,$A75))</f>
        <v/>
      </c>
      <c r="G75" s="13">
        <f>IF(OR($A75="",$B75=""),"",IFERROR($B75-$F75,""))</f>
        <v/>
      </c>
      <c r="H75" s="13">
        <f>IF($A75="","",SUMIFS(Bookings!$K$4:$K$103,Bookings!$B$4:$B$103,$A75))</f>
        <v/>
      </c>
      <c r="I75" s="13">
        <f>IF(OR($A75="",$C75=""),"",IFERROR($C75-$H75,""))</f>
        <v/>
      </c>
      <c r="J75" s="21">
        <f>IF($A75="","",IF(OR($B75="",$C75=""),"Enter capacity",IF(OR(AND($F75&gt;0,$F75&gt;=$B75),AND($H75&gt;0,$H75&gt;=$C75)),"Over capacity",IF(OR(IFERROR($F75/$B75,0)&gt;=Assumptions!$B$7,IFERROR($H75/$C75,0)&gt;=Assumptions!$B$7),"Check near limit","Within capacity"))))</f>
        <v/>
      </c>
    </row>
    <row r="76">
      <c r="A76" s="17" t="n"/>
      <c r="B76" s="19" t="n"/>
      <c r="C76" s="19" t="n"/>
      <c r="D76" s="18" t="n"/>
      <c r="E76" s="18" t="n"/>
      <c r="F76" s="9">
        <f>IF($A76="","",SUMIFS(Bookings!$J$4:$J$103,Bookings!$B$4:$B$103,$A76))</f>
        <v/>
      </c>
      <c r="G76" s="9">
        <f>IF(OR($A76="",$B76=""),"",IFERROR($B76-$F76,""))</f>
        <v/>
      </c>
      <c r="H76" s="9">
        <f>IF($A76="","",SUMIFS(Bookings!$K$4:$K$103,Bookings!$B$4:$B$103,$A76))</f>
        <v/>
      </c>
      <c r="I76" s="9">
        <f>IF(OR($A76="",$C76=""),"",IFERROR($C76-$H76,""))</f>
        <v/>
      </c>
      <c r="J76" s="20">
        <f>IF($A76="","",IF(OR($B76="",$C76=""),"Enter capacity",IF(OR(AND($F76&gt;0,$F76&gt;=$B76),AND($H76&gt;0,$H76&gt;=$C76)),"Over capacity",IF(OR(IFERROR($F76/$B76,0)&gt;=Assumptions!$B$7,IFERROR($H76/$C76,0)&gt;=Assumptions!$B$7),"Check near limit","Within capacity"))))</f>
        <v/>
      </c>
    </row>
    <row r="77">
      <c r="A77" s="17" t="n"/>
      <c r="B77" s="19" t="n"/>
      <c r="C77" s="19" t="n"/>
      <c r="D77" s="18" t="n"/>
      <c r="E77" s="18" t="n"/>
      <c r="F77" s="13">
        <f>IF($A77="","",SUMIFS(Bookings!$J$4:$J$103,Bookings!$B$4:$B$103,$A77))</f>
        <v/>
      </c>
      <c r="G77" s="13">
        <f>IF(OR($A77="",$B77=""),"",IFERROR($B77-$F77,""))</f>
        <v/>
      </c>
      <c r="H77" s="13">
        <f>IF($A77="","",SUMIFS(Bookings!$K$4:$K$103,Bookings!$B$4:$B$103,$A77))</f>
        <v/>
      </c>
      <c r="I77" s="13">
        <f>IF(OR($A77="",$C77=""),"",IFERROR($C77-$H77,""))</f>
        <v/>
      </c>
      <c r="J77" s="21">
        <f>IF($A77="","",IF(OR($B77="",$C77=""),"Enter capacity",IF(OR(AND($F77&gt;0,$F77&gt;=$B77),AND($H77&gt;0,$H77&gt;=$C77)),"Over capacity",IF(OR(IFERROR($F77/$B77,0)&gt;=Assumptions!$B$7,IFERROR($H77/$C77,0)&gt;=Assumptions!$B$7),"Check near limit","Within capacity"))))</f>
        <v/>
      </c>
    </row>
    <row r="78">
      <c r="A78" s="17" t="n"/>
      <c r="B78" s="19" t="n"/>
      <c r="C78" s="19" t="n"/>
      <c r="D78" s="18" t="n"/>
      <c r="E78" s="18" t="n"/>
      <c r="F78" s="9">
        <f>IF($A78="","",SUMIFS(Bookings!$J$4:$J$103,Bookings!$B$4:$B$103,$A78))</f>
        <v/>
      </c>
      <c r="G78" s="9">
        <f>IF(OR($A78="",$B78=""),"",IFERROR($B78-$F78,""))</f>
        <v/>
      </c>
      <c r="H78" s="9">
        <f>IF($A78="","",SUMIFS(Bookings!$K$4:$K$103,Bookings!$B$4:$B$103,$A78))</f>
        <v/>
      </c>
      <c r="I78" s="9">
        <f>IF(OR($A78="",$C78=""),"",IFERROR($C78-$H78,""))</f>
        <v/>
      </c>
      <c r="J78" s="20">
        <f>IF($A78="","",IF(OR($B78="",$C78=""),"Enter capacity",IF(OR(AND($F78&gt;0,$F78&gt;=$B78),AND($H78&gt;0,$H78&gt;=$C78)),"Over capacity",IF(OR(IFERROR($F78/$B78,0)&gt;=Assumptions!$B$7,IFERROR($H78/$C78,0)&gt;=Assumptions!$B$7),"Check near limit","Within capacity"))))</f>
        <v/>
      </c>
    </row>
    <row r="79">
      <c r="A79" s="17" t="n"/>
      <c r="B79" s="19" t="n"/>
      <c r="C79" s="19" t="n"/>
      <c r="D79" s="18" t="n"/>
      <c r="E79" s="18" t="n"/>
      <c r="F79" s="13">
        <f>IF($A79="","",SUMIFS(Bookings!$J$4:$J$103,Bookings!$B$4:$B$103,$A79))</f>
        <v/>
      </c>
      <c r="G79" s="13">
        <f>IF(OR($A79="",$B79=""),"",IFERROR($B79-$F79,""))</f>
        <v/>
      </c>
      <c r="H79" s="13">
        <f>IF($A79="","",SUMIFS(Bookings!$K$4:$K$103,Bookings!$B$4:$B$103,$A79))</f>
        <v/>
      </c>
      <c r="I79" s="13">
        <f>IF(OR($A79="",$C79=""),"",IFERROR($C79-$H79,""))</f>
        <v/>
      </c>
      <c r="J79" s="21">
        <f>IF($A79="","",IF(OR($B79="",$C79=""),"Enter capacity",IF(OR(AND($F79&gt;0,$F79&gt;=$B79),AND($H79&gt;0,$H79&gt;=$C79)),"Over capacity",IF(OR(IFERROR($F79/$B79,0)&gt;=Assumptions!$B$7,IFERROR($H79/$C79,0)&gt;=Assumptions!$B$7),"Check near limit","Within capacity"))))</f>
        <v/>
      </c>
    </row>
    <row r="80">
      <c r="A80" s="17" t="n"/>
      <c r="B80" s="19" t="n"/>
      <c r="C80" s="19" t="n"/>
      <c r="D80" s="18" t="n"/>
      <c r="E80" s="18" t="n"/>
      <c r="F80" s="9">
        <f>IF($A80="","",SUMIFS(Bookings!$J$4:$J$103,Bookings!$B$4:$B$103,$A80))</f>
        <v/>
      </c>
      <c r="G80" s="9">
        <f>IF(OR($A80="",$B80=""),"",IFERROR($B80-$F80,""))</f>
        <v/>
      </c>
      <c r="H80" s="9">
        <f>IF($A80="","",SUMIFS(Bookings!$K$4:$K$103,Bookings!$B$4:$B$103,$A80))</f>
        <v/>
      </c>
      <c r="I80" s="9">
        <f>IF(OR($A80="",$C80=""),"",IFERROR($C80-$H80,""))</f>
        <v/>
      </c>
      <c r="J80" s="20">
        <f>IF($A80="","",IF(OR($B80="",$C80=""),"Enter capacity",IF(OR(AND($F80&gt;0,$F80&gt;=$B80),AND($H80&gt;0,$H80&gt;=$C80)),"Over capacity",IF(OR(IFERROR($F80/$B80,0)&gt;=Assumptions!$B$7,IFERROR($H80/$C80,0)&gt;=Assumptions!$B$7),"Check near limit","Within capacity"))))</f>
        <v/>
      </c>
    </row>
    <row r="81">
      <c r="A81" s="17" t="n"/>
      <c r="B81" s="19" t="n"/>
      <c r="C81" s="19" t="n"/>
      <c r="D81" s="18" t="n"/>
      <c r="E81" s="18" t="n"/>
      <c r="F81" s="13">
        <f>IF($A81="","",SUMIFS(Bookings!$J$4:$J$103,Bookings!$B$4:$B$103,$A81))</f>
        <v/>
      </c>
      <c r="G81" s="13">
        <f>IF(OR($A81="",$B81=""),"",IFERROR($B81-$F81,""))</f>
        <v/>
      </c>
      <c r="H81" s="13">
        <f>IF($A81="","",SUMIFS(Bookings!$K$4:$K$103,Bookings!$B$4:$B$103,$A81))</f>
        <v/>
      </c>
      <c r="I81" s="13">
        <f>IF(OR($A81="",$C81=""),"",IFERROR($C81-$H81,""))</f>
        <v/>
      </c>
      <c r="J81" s="21">
        <f>IF($A81="","",IF(OR($B81="",$C81=""),"Enter capacity",IF(OR(AND($F81&gt;0,$F81&gt;=$B81),AND($H81&gt;0,$H81&gt;=$C81)),"Over capacity",IF(OR(IFERROR($F81/$B81,0)&gt;=Assumptions!$B$7,IFERROR($H81/$C81,0)&gt;=Assumptions!$B$7),"Check near limit","Within capacity"))))</f>
        <v/>
      </c>
    </row>
    <row r="82">
      <c r="A82" s="17" t="n"/>
      <c r="B82" s="19" t="n"/>
      <c r="C82" s="19" t="n"/>
      <c r="D82" s="18" t="n"/>
      <c r="E82" s="18" t="n"/>
      <c r="F82" s="9">
        <f>IF($A82="","",SUMIFS(Bookings!$J$4:$J$103,Bookings!$B$4:$B$103,$A82))</f>
        <v/>
      </c>
      <c r="G82" s="9">
        <f>IF(OR($A82="",$B82=""),"",IFERROR($B82-$F82,""))</f>
        <v/>
      </c>
      <c r="H82" s="9">
        <f>IF($A82="","",SUMIFS(Bookings!$K$4:$K$103,Bookings!$B$4:$B$103,$A82))</f>
        <v/>
      </c>
      <c r="I82" s="9">
        <f>IF(OR($A82="",$C82=""),"",IFERROR($C82-$H82,""))</f>
        <v/>
      </c>
      <c r="J82" s="20">
        <f>IF($A82="","",IF(OR($B82="",$C82=""),"Enter capacity",IF(OR(AND($F82&gt;0,$F82&gt;=$B82),AND($H82&gt;0,$H82&gt;=$C82)),"Over capacity",IF(OR(IFERROR($F82/$B82,0)&gt;=Assumptions!$B$7,IFERROR($H82/$C82,0)&gt;=Assumptions!$B$7),"Check near limit","Within capacity"))))</f>
        <v/>
      </c>
    </row>
    <row r="83">
      <c r="A83" s="17" t="n"/>
      <c r="B83" s="19" t="n"/>
      <c r="C83" s="19" t="n"/>
      <c r="D83" s="18" t="n"/>
      <c r="E83" s="18" t="n"/>
      <c r="F83" s="13">
        <f>IF($A83="","",SUMIFS(Bookings!$J$4:$J$103,Bookings!$B$4:$B$103,$A83))</f>
        <v/>
      </c>
      <c r="G83" s="13">
        <f>IF(OR($A83="",$B83=""),"",IFERROR($B83-$F83,""))</f>
        <v/>
      </c>
      <c r="H83" s="13">
        <f>IF($A83="","",SUMIFS(Bookings!$K$4:$K$103,Bookings!$B$4:$B$103,$A83))</f>
        <v/>
      </c>
      <c r="I83" s="13">
        <f>IF(OR($A83="",$C83=""),"",IFERROR($C83-$H83,""))</f>
        <v/>
      </c>
      <c r="J83" s="21">
        <f>IF($A83="","",IF(OR($B83="",$C83=""),"Enter capacity",IF(OR(AND($F83&gt;0,$F83&gt;=$B83),AND($H83&gt;0,$H83&gt;=$C83)),"Over capacity",IF(OR(IFERROR($F83/$B83,0)&gt;=Assumptions!$B$7,IFERROR($H83/$C83,0)&gt;=Assumptions!$B$7),"Check near limit","Within capacity"))))</f>
        <v/>
      </c>
    </row>
    <row r="84">
      <c r="A84" s="17" t="n"/>
      <c r="B84" s="19" t="n"/>
      <c r="C84" s="19" t="n"/>
      <c r="D84" s="18" t="n"/>
      <c r="E84" s="18" t="n"/>
      <c r="F84" s="9">
        <f>IF($A84="","",SUMIFS(Bookings!$J$4:$J$103,Bookings!$B$4:$B$103,$A84))</f>
        <v/>
      </c>
      <c r="G84" s="9">
        <f>IF(OR($A84="",$B84=""),"",IFERROR($B84-$F84,""))</f>
        <v/>
      </c>
      <c r="H84" s="9">
        <f>IF($A84="","",SUMIFS(Bookings!$K$4:$K$103,Bookings!$B$4:$B$103,$A84))</f>
        <v/>
      </c>
      <c r="I84" s="9">
        <f>IF(OR($A84="",$C84=""),"",IFERROR($C84-$H84,""))</f>
        <v/>
      </c>
      <c r="J84" s="20">
        <f>IF($A84="","",IF(OR($B84="",$C84=""),"Enter capacity",IF(OR(AND($F84&gt;0,$F84&gt;=$B84),AND($H84&gt;0,$H84&gt;=$C84)),"Over capacity",IF(OR(IFERROR($F84/$B84,0)&gt;=Assumptions!$B$7,IFERROR($H84/$C84,0)&gt;=Assumptions!$B$7),"Check near limit","Within capacity"))))</f>
        <v/>
      </c>
    </row>
    <row r="85">
      <c r="A85" s="17" t="n"/>
      <c r="B85" s="19" t="n"/>
      <c r="C85" s="19" t="n"/>
      <c r="D85" s="18" t="n"/>
      <c r="E85" s="18" t="n"/>
      <c r="F85" s="13">
        <f>IF($A85="","",SUMIFS(Bookings!$J$4:$J$103,Bookings!$B$4:$B$103,$A85))</f>
        <v/>
      </c>
      <c r="G85" s="13">
        <f>IF(OR($A85="",$B85=""),"",IFERROR($B85-$F85,""))</f>
        <v/>
      </c>
      <c r="H85" s="13">
        <f>IF($A85="","",SUMIFS(Bookings!$K$4:$K$103,Bookings!$B$4:$B$103,$A85))</f>
        <v/>
      </c>
      <c r="I85" s="13">
        <f>IF(OR($A85="",$C85=""),"",IFERROR($C85-$H85,""))</f>
        <v/>
      </c>
      <c r="J85" s="21">
        <f>IF($A85="","",IF(OR($B85="",$C85=""),"Enter capacity",IF(OR(AND($F85&gt;0,$F85&gt;=$B85),AND($H85&gt;0,$H85&gt;=$C85)),"Over capacity",IF(OR(IFERROR($F85/$B85,0)&gt;=Assumptions!$B$7,IFERROR($H85/$C85,0)&gt;=Assumptions!$B$7),"Check near limit","Within capacity"))))</f>
        <v/>
      </c>
    </row>
    <row r="86">
      <c r="A86" s="17" t="n"/>
      <c r="B86" s="19" t="n"/>
      <c r="C86" s="19" t="n"/>
      <c r="D86" s="18" t="n"/>
      <c r="E86" s="18" t="n"/>
      <c r="F86" s="9">
        <f>IF($A86="","",SUMIFS(Bookings!$J$4:$J$103,Bookings!$B$4:$B$103,$A86))</f>
        <v/>
      </c>
      <c r="G86" s="9">
        <f>IF(OR($A86="",$B86=""),"",IFERROR($B86-$F86,""))</f>
        <v/>
      </c>
      <c r="H86" s="9">
        <f>IF($A86="","",SUMIFS(Bookings!$K$4:$K$103,Bookings!$B$4:$B$103,$A86))</f>
        <v/>
      </c>
      <c r="I86" s="9">
        <f>IF(OR($A86="",$C86=""),"",IFERROR($C86-$H86,""))</f>
        <v/>
      </c>
      <c r="J86" s="20">
        <f>IF($A86="","",IF(OR($B86="",$C86=""),"Enter capacity",IF(OR(AND($F86&gt;0,$F86&gt;=$B86),AND($H86&gt;0,$H86&gt;=$C86)),"Over capacity",IF(OR(IFERROR($F86/$B86,0)&gt;=Assumptions!$B$7,IFERROR($H86/$C86,0)&gt;=Assumptions!$B$7),"Check near limit","Within capacity"))))</f>
        <v/>
      </c>
    </row>
    <row r="87">
      <c r="A87" s="17" t="n"/>
      <c r="B87" s="19" t="n"/>
      <c r="C87" s="19" t="n"/>
      <c r="D87" s="18" t="n"/>
      <c r="E87" s="18" t="n"/>
      <c r="F87" s="13">
        <f>IF($A87="","",SUMIFS(Bookings!$J$4:$J$103,Bookings!$B$4:$B$103,$A87))</f>
        <v/>
      </c>
      <c r="G87" s="13">
        <f>IF(OR($A87="",$B87=""),"",IFERROR($B87-$F87,""))</f>
        <v/>
      </c>
      <c r="H87" s="13">
        <f>IF($A87="","",SUMIFS(Bookings!$K$4:$K$103,Bookings!$B$4:$B$103,$A87))</f>
        <v/>
      </c>
      <c r="I87" s="13">
        <f>IF(OR($A87="",$C87=""),"",IFERROR($C87-$H87,""))</f>
        <v/>
      </c>
      <c r="J87" s="21">
        <f>IF($A87="","",IF(OR($B87="",$C87=""),"Enter capacity",IF(OR(AND($F87&gt;0,$F87&gt;=$B87),AND($H87&gt;0,$H87&gt;=$C87)),"Over capacity",IF(OR(IFERROR($F87/$B87,0)&gt;=Assumptions!$B$7,IFERROR($H87/$C87,0)&gt;=Assumptions!$B$7),"Check near limit","Within capacity"))))</f>
        <v/>
      </c>
    </row>
    <row r="88">
      <c r="A88" s="17" t="n"/>
      <c r="B88" s="19" t="n"/>
      <c r="C88" s="19" t="n"/>
      <c r="D88" s="18" t="n"/>
      <c r="E88" s="18" t="n"/>
      <c r="F88" s="9">
        <f>IF($A88="","",SUMIFS(Bookings!$J$4:$J$103,Bookings!$B$4:$B$103,$A88))</f>
        <v/>
      </c>
      <c r="G88" s="9">
        <f>IF(OR($A88="",$B88=""),"",IFERROR($B88-$F88,""))</f>
        <v/>
      </c>
      <c r="H88" s="9">
        <f>IF($A88="","",SUMIFS(Bookings!$K$4:$K$103,Bookings!$B$4:$B$103,$A88))</f>
        <v/>
      </c>
      <c r="I88" s="9">
        <f>IF(OR($A88="",$C88=""),"",IFERROR($C88-$H88,""))</f>
        <v/>
      </c>
      <c r="J88" s="20">
        <f>IF($A88="","",IF(OR($B88="",$C88=""),"Enter capacity",IF(OR(AND($F88&gt;0,$F88&gt;=$B88),AND($H88&gt;0,$H88&gt;=$C88)),"Over capacity",IF(OR(IFERROR($F88/$B88,0)&gt;=Assumptions!$B$7,IFERROR($H88/$C88,0)&gt;=Assumptions!$B$7),"Check near limit","Within capacity"))))</f>
        <v/>
      </c>
    </row>
    <row r="89">
      <c r="A89" s="17" t="n"/>
      <c r="B89" s="19" t="n"/>
      <c r="C89" s="19" t="n"/>
      <c r="D89" s="18" t="n"/>
      <c r="E89" s="18" t="n"/>
      <c r="F89" s="13">
        <f>IF($A89="","",SUMIFS(Bookings!$J$4:$J$103,Bookings!$B$4:$B$103,$A89))</f>
        <v/>
      </c>
      <c r="G89" s="13">
        <f>IF(OR($A89="",$B89=""),"",IFERROR($B89-$F89,""))</f>
        <v/>
      </c>
      <c r="H89" s="13">
        <f>IF($A89="","",SUMIFS(Bookings!$K$4:$K$103,Bookings!$B$4:$B$103,$A89))</f>
        <v/>
      </c>
      <c r="I89" s="13">
        <f>IF(OR($A89="",$C89=""),"",IFERROR($C89-$H89,""))</f>
        <v/>
      </c>
      <c r="J89" s="21">
        <f>IF($A89="","",IF(OR($B89="",$C89=""),"Enter capacity",IF(OR(AND($F89&gt;0,$F89&gt;=$B89),AND($H89&gt;0,$H89&gt;=$C89)),"Over capacity",IF(OR(IFERROR($F89/$B89,0)&gt;=Assumptions!$B$7,IFERROR($H89/$C89,0)&gt;=Assumptions!$B$7),"Check near limit","Within capacity"))))</f>
        <v/>
      </c>
    </row>
    <row r="90">
      <c r="A90" s="17" t="n"/>
      <c r="B90" s="19" t="n"/>
      <c r="C90" s="19" t="n"/>
      <c r="D90" s="18" t="n"/>
      <c r="E90" s="18" t="n"/>
      <c r="F90" s="9">
        <f>IF($A90="","",SUMIFS(Bookings!$J$4:$J$103,Bookings!$B$4:$B$103,$A90))</f>
        <v/>
      </c>
      <c r="G90" s="9">
        <f>IF(OR($A90="",$B90=""),"",IFERROR($B90-$F90,""))</f>
        <v/>
      </c>
      <c r="H90" s="9">
        <f>IF($A90="","",SUMIFS(Bookings!$K$4:$K$103,Bookings!$B$4:$B$103,$A90))</f>
        <v/>
      </c>
      <c r="I90" s="9">
        <f>IF(OR($A90="",$C90=""),"",IFERROR($C90-$H90,""))</f>
        <v/>
      </c>
      <c r="J90" s="20">
        <f>IF($A90="","",IF(OR($B90="",$C90=""),"Enter capacity",IF(OR(AND($F90&gt;0,$F90&gt;=$B90),AND($H90&gt;0,$H90&gt;=$C90)),"Over capacity",IF(OR(IFERROR($F90/$B90,0)&gt;=Assumptions!$B$7,IFERROR($H90/$C90,0)&gt;=Assumptions!$B$7),"Check near limit","Within capacity"))))</f>
        <v/>
      </c>
    </row>
    <row r="91">
      <c r="A91" s="17" t="n"/>
      <c r="B91" s="19" t="n"/>
      <c r="C91" s="19" t="n"/>
      <c r="D91" s="18" t="n"/>
      <c r="E91" s="18" t="n"/>
      <c r="F91" s="13">
        <f>IF($A91="","",SUMIFS(Bookings!$J$4:$J$103,Bookings!$B$4:$B$103,$A91))</f>
        <v/>
      </c>
      <c r="G91" s="13">
        <f>IF(OR($A91="",$B91=""),"",IFERROR($B91-$F91,""))</f>
        <v/>
      </c>
      <c r="H91" s="13">
        <f>IF($A91="","",SUMIFS(Bookings!$K$4:$K$103,Bookings!$B$4:$B$103,$A91))</f>
        <v/>
      </c>
      <c r="I91" s="13">
        <f>IF(OR($A91="",$C91=""),"",IFERROR($C91-$H91,""))</f>
        <v/>
      </c>
      <c r="J91" s="21">
        <f>IF($A91="","",IF(OR($B91="",$C91=""),"Enter capacity",IF(OR(AND($F91&gt;0,$F91&gt;=$B91),AND($H91&gt;0,$H91&gt;=$C91)),"Over capacity",IF(OR(IFERROR($F91/$B91,0)&gt;=Assumptions!$B$7,IFERROR($H91/$C91,0)&gt;=Assumptions!$B$7),"Check near limit","Within capacity"))))</f>
        <v/>
      </c>
    </row>
    <row r="92">
      <c r="A92" s="17" t="n"/>
      <c r="B92" s="19" t="n"/>
      <c r="C92" s="19" t="n"/>
      <c r="D92" s="18" t="n"/>
      <c r="E92" s="18" t="n"/>
      <c r="F92" s="9">
        <f>IF($A92="","",SUMIFS(Bookings!$J$4:$J$103,Bookings!$B$4:$B$103,$A92))</f>
        <v/>
      </c>
      <c r="G92" s="9">
        <f>IF(OR($A92="",$B92=""),"",IFERROR($B92-$F92,""))</f>
        <v/>
      </c>
      <c r="H92" s="9">
        <f>IF($A92="","",SUMIFS(Bookings!$K$4:$K$103,Bookings!$B$4:$B$103,$A92))</f>
        <v/>
      </c>
      <c r="I92" s="9">
        <f>IF(OR($A92="",$C92=""),"",IFERROR($C92-$H92,""))</f>
        <v/>
      </c>
      <c r="J92" s="20">
        <f>IF($A92="","",IF(OR($B92="",$C92=""),"Enter capacity",IF(OR(AND($F92&gt;0,$F92&gt;=$B92),AND($H92&gt;0,$H92&gt;=$C92)),"Over capacity",IF(OR(IFERROR($F92/$B92,0)&gt;=Assumptions!$B$7,IFERROR($H92/$C92,0)&gt;=Assumptions!$B$7),"Check near limit","Within capacity"))))</f>
        <v/>
      </c>
    </row>
    <row r="93">
      <c r="A93" s="17" t="n"/>
      <c r="B93" s="19" t="n"/>
      <c r="C93" s="19" t="n"/>
      <c r="D93" s="18" t="n"/>
      <c r="E93" s="18" t="n"/>
      <c r="F93" s="13">
        <f>IF($A93="","",SUMIFS(Bookings!$J$4:$J$103,Bookings!$B$4:$B$103,$A93))</f>
        <v/>
      </c>
      <c r="G93" s="13">
        <f>IF(OR($A93="",$B93=""),"",IFERROR($B93-$F93,""))</f>
        <v/>
      </c>
      <c r="H93" s="13">
        <f>IF($A93="","",SUMIFS(Bookings!$K$4:$K$103,Bookings!$B$4:$B$103,$A93))</f>
        <v/>
      </c>
      <c r="I93" s="13">
        <f>IF(OR($A93="",$C93=""),"",IFERROR($C93-$H93,""))</f>
        <v/>
      </c>
      <c r="J93" s="21">
        <f>IF($A93="","",IF(OR($B93="",$C93=""),"Enter capacity",IF(OR(AND($F93&gt;0,$F93&gt;=$B93),AND($H93&gt;0,$H93&gt;=$C93)),"Over capacity",IF(OR(IFERROR($F93/$B93,0)&gt;=Assumptions!$B$7,IFERROR($H93/$C93,0)&gt;=Assumptions!$B$7),"Check near limit","Within capacity"))))</f>
        <v/>
      </c>
    </row>
    <row r="94">
      <c r="A94" s="17" t="n"/>
      <c r="B94" s="19" t="n"/>
      <c r="C94" s="19" t="n"/>
      <c r="D94" s="18" t="n"/>
      <c r="E94" s="18" t="n"/>
      <c r="F94" s="9">
        <f>IF($A94="","",SUMIFS(Bookings!$J$4:$J$103,Bookings!$B$4:$B$103,$A94))</f>
        <v/>
      </c>
      <c r="G94" s="9">
        <f>IF(OR($A94="",$B94=""),"",IFERROR($B94-$F94,""))</f>
        <v/>
      </c>
      <c r="H94" s="9">
        <f>IF($A94="","",SUMIFS(Bookings!$K$4:$K$103,Bookings!$B$4:$B$103,$A94))</f>
        <v/>
      </c>
      <c r="I94" s="9">
        <f>IF(OR($A94="",$C94=""),"",IFERROR($C94-$H94,""))</f>
        <v/>
      </c>
      <c r="J94" s="20">
        <f>IF($A94="","",IF(OR($B94="",$C94=""),"Enter capacity",IF(OR(AND($F94&gt;0,$F94&gt;=$B94),AND($H94&gt;0,$H94&gt;=$C94)),"Over capacity",IF(OR(IFERROR($F94/$B94,0)&gt;=Assumptions!$B$7,IFERROR($H94/$C94,0)&gt;=Assumptions!$B$7),"Check near limit","Within capacity"))))</f>
        <v/>
      </c>
    </row>
    <row r="95">
      <c r="A95" s="17" t="n"/>
      <c r="B95" s="19" t="n"/>
      <c r="C95" s="19" t="n"/>
      <c r="D95" s="18" t="n"/>
      <c r="E95" s="18" t="n"/>
      <c r="F95" s="13">
        <f>IF($A95="","",SUMIFS(Bookings!$J$4:$J$103,Bookings!$B$4:$B$103,$A95))</f>
        <v/>
      </c>
      <c r="G95" s="13">
        <f>IF(OR($A95="",$B95=""),"",IFERROR($B95-$F95,""))</f>
        <v/>
      </c>
      <c r="H95" s="13">
        <f>IF($A95="","",SUMIFS(Bookings!$K$4:$K$103,Bookings!$B$4:$B$103,$A95))</f>
        <v/>
      </c>
      <c r="I95" s="13">
        <f>IF(OR($A95="",$C95=""),"",IFERROR($C95-$H95,""))</f>
        <v/>
      </c>
      <c r="J95" s="21">
        <f>IF($A95="","",IF(OR($B95="",$C95=""),"Enter capacity",IF(OR(AND($F95&gt;0,$F95&gt;=$B95),AND($H95&gt;0,$H95&gt;=$C95)),"Over capacity",IF(OR(IFERROR($F95/$B95,0)&gt;=Assumptions!$B$7,IFERROR($H95/$C95,0)&gt;=Assumptions!$B$7),"Check near limit","Within capacity"))))</f>
        <v/>
      </c>
    </row>
    <row r="96">
      <c r="A96" s="17" t="n"/>
      <c r="B96" s="19" t="n"/>
      <c r="C96" s="19" t="n"/>
      <c r="D96" s="18" t="n"/>
      <c r="E96" s="18" t="n"/>
      <c r="F96" s="9">
        <f>IF($A96="","",SUMIFS(Bookings!$J$4:$J$103,Bookings!$B$4:$B$103,$A96))</f>
        <v/>
      </c>
      <c r="G96" s="9">
        <f>IF(OR($A96="",$B96=""),"",IFERROR($B96-$F96,""))</f>
        <v/>
      </c>
      <c r="H96" s="9">
        <f>IF($A96="","",SUMIFS(Bookings!$K$4:$K$103,Bookings!$B$4:$B$103,$A96))</f>
        <v/>
      </c>
      <c r="I96" s="9">
        <f>IF(OR($A96="",$C96=""),"",IFERROR($C96-$H96,""))</f>
        <v/>
      </c>
      <c r="J96" s="20">
        <f>IF($A96="","",IF(OR($B96="",$C96=""),"Enter capacity",IF(OR(AND($F96&gt;0,$F96&gt;=$B96),AND($H96&gt;0,$H96&gt;=$C96)),"Over capacity",IF(OR(IFERROR($F96/$B96,0)&gt;=Assumptions!$B$7,IFERROR($H96/$C96,0)&gt;=Assumptions!$B$7),"Check near limit","Within capacity"))))</f>
        <v/>
      </c>
    </row>
    <row r="97">
      <c r="A97" s="17" t="n"/>
      <c r="B97" s="19" t="n"/>
      <c r="C97" s="19" t="n"/>
      <c r="D97" s="18" t="n"/>
      <c r="E97" s="18" t="n"/>
      <c r="F97" s="13">
        <f>IF($A97="","",SUMIFS(Bookings!$J$4:$J$103,Bookings!$B$4:$B$103,$A97))</f>
        <v/>
      </c>
      <c r="G97" s="13">
        <f>IF(OR($A97="",$B97=""),"",IFERROR($B97-$F97,""))</f>
        <v/>
      </c>
      <c r="H97" s="13">
        <f>IF($A97="","",SUMIFS(Bookings!$K$4:$K$103,Bookings!$B$4:$B$103,$A97))</f>
        <v/>
      </c>
      <c r="I97" s="13">
        <f>IF(OR($A97="",$C97=""),"",IFERROR($C97-$H97,""))</f>
        <v/>
      </c>
      <c r="J97" s="21">
        <f>IF($A97="","",IF(OR($B97="",$C97=""),"Enter capacity",IF(OR(AND($F97&gt;0,$F97&gt;=$B97),AND($H97&gt;0,$H97&gt;=$C97)),"Over capacity",IF(OR(IFERROR($F97/$B97,0)&gt;=Assumptions!$B$7,IFERROR($H97/$C97,0)&gt;=Assumptions!$B$7),"Check near limit","Within capacity"))))</f>
        <v/>
      </c>
    </row>
    <row r="98">
      <c r="A98" s="17" t="n"/>
      <c r="B98" s="19" t="n"/>
      <c r="C98" s="19" t="n"/>
      <c r="D98" s="18" t="n"/>
      <c r="E98" s="18" t="n"/>
      <c r="F98" s="9">
        <f>IF($A98="","",SUMIFS(Bookings!$J$4:$J$103,Bookings!$B$4:$B$103,$A98))</f>
        <v/>
      </c>
      <c r="G98" s="9">
        <f>IF(OR($A98="",$B98=""),"",IFERROR($B98-$F98,""))</f>
        <v/>
      </c>
      <c r="H98" s="9">
        <f>IF($A98="","",SUMIFS(Bookings!$K$4:$K$103,Bookings!$B$4:$B$103,$A98))</f>
        <v/>
      </c>
      <c r="I98" s="9">
        <f>IF(OR($A98="",$C98=""),"",IFERROR($C98-$H98,""))</f>
        <v/>
      </c>
      <c r="J98" s="20">
        <f>IF($A98="","",IF(OR($B98="",$C98=""),"Enter capacity",IF(OR(AND($F98&gt;0,$F98&gt;=$B98),AND($H98&gt;0,$H98&gt;=$C98)),"Over capacity",IF(OR(IFERROR($F98/$B98,0)&gt;=Assumptions!$B$7,IFERROR($H98/$C98,0)&gt;=Assumptions!$B$7),"Check near limit","Within capacity"))))</f>
        <v/>
      </c>
    </row>
    <row r="99">
      <c r="A99" s="17" t="n"/>
      <c r="B99" s="19" t="n"/>
      <c r="C99" s="19" t="n"/>
      <c r="D99" s="18" t="n"/>
      <c r="E99" s="18" t="n"/>
      <c r="F99" s="13">
        <f>IF($A99="","",SUMIFS(Bookings!$J$4:$J$103,Bookings!$B$4:$B$103,$A99))</f>
        <v/>
      </c>
      <c r="G99" s="13">
        <f>IF(OR($A99="",$B99=""),"",IFERROR($B99-$F99,""))</f>
        <v/>
      </c>
      <c r="H99" s="13">
        <f>IF($A99="","",SUMIFS(Bookings!$K$4:$K$103,Bookings!$B$4:$B$103,$A99))</f>
        <v/>
      </c>
      <c r="I99" s="13">
        <f>IF(OR($A99="",$C99=""),"",IFERROR($C99-$H99,""))</f>
        <v/>
      </c>
      <c r="J99" s="21">
        <f>IF($A99="","",IF(OR($B99="",$C99=""),"Enter capacity",IF(OR(AND($F99&gt;0,$F99&gt;=$B99),AND($H99&gt;0,$H99&gt;=$C99)),"Over capacity",IF(OR(IFERROR($F99/$B99,0)&gt;=Assumptions!$B$7,IFERROR($H99/$C99,0)&gt;=Assumptions!$B$7),"Check near limit","Within capacity"))))</f>
        <v/>
      </c>
    </row>
    <row r="100">
      <c r="A100" s="17" t="n"/>
      <c r="B100" s="19" t="n"/>
      <c r="C100" s="19" t="n"/>
      <c r="D100" s="18" t="n"/>
      <c r="E100" s="18" t="n"/>
      <c r="F100" s="9">
        <f>IF($A100="","",SUMIFS(Bookings!$J$4:$J$103,Bookings!$B$4:$B$103,$A100))</f>
        <v/>
      </c>
      <c r="G100" s="9">
        <f>IF(OR($A100="",$B100=""),"",IFERROR($B100-$F100,""))</f>
        <v/>
      </c>
      <c r="H100" s="9">
        <f>IF($A100="","",SUMIFS(Bookings!$K$4:$K$103,Bookings!$B$4:$B$103,$A100))</f>
        <v/>
      </c>
      <c r="I100" s="9">
        <f>IF(OR($A100="",$C100=""),"",IFERROR($C100-$H100,""))</f>
        <v/>
      </c>
      <c r="J100" s="20">
        <f>IF($A100="","",IF(OR($B100="",$C100=""),"Enter capacity",IF(OR(AND($F100&gt;0,$F100&gt;=$B100),AND($H100&gt;0,$H100&gt;=$C100)),"Over capacity",IF(OR(IFERROR($F100/$B100,0)&gt;=Assumptions!$B$7,IFERROR($H100/$C100,0)&gt;=Assumptions!$B$7),"Check near limit","Within capacity"))))</f>
        <v/>
      </c>
    </row>
    <row r="101">
      <c r="A101" s="17" t="n"/>
      <c r="B101" s="19" t="n"/>
      <c r="C101" s="19" t="n"/>
      <c r="D101" s="18" t="n"/>
      <c r="E101" s="18" t="n"/>
      <c r="F101" s="13">
        <f>IF($A101="","",SUMIFS(Bookings!$J$4:$J$103,Bookings!$B$4:$B$103,$A101))</f>
        <v/>
      </c>
      <c r="G101" s="13">
        <f>IF(OR($A101="",$B101=""),"",IFERROR($B101-$F101,""))</f>
        <v/>
      </c>
      <c r="H101" s="13">
        <f>IF($A101="","",SUMIFS(Bookings!$K$4:$K$103,Bookings!$B$4:$B$103,$A101))</f>
        <v/>
      </c>
      <c r="I101" s="13">
        <f>IF(OR($A101="",$C101=""),"",IFERROR($C101-$H101,""))</f>
        <v/>
      </c>
      <c r="J101" s="21">
        <f>IF($A101="","",IF(OR($B101="",$C101=""),"Enter capacity",IF(OR(AND($F101&gt;0,$F101&gt;=$B101),AND($H101&gt;0,$H101&gt;=$C101)),"Over capacity",IF(OR(IFERROR($F101/$B101,0)&gt;=Assumptions!$B$7,IFERROR($H101/$C101,0)&gt;=Assumptions!$B$7),"Check near limit","Within capacity"))))</f>
        <v/>
      </c>
    </row>
    <row r="102">
      <c r="A102" s="17" t="n"/>
      <c r="B102" s="19" t="n"/>
      <c r="C102" s="19" t="n"/>
      <c r="D102" s="18" t="n"/>
      <c r="E102" s="18" t="n"/>
      <c r="F102" s="9">
        <f>IF($A102="","",SUMIFS(Bookings!$J$4:$J$103,Bookings!$B$4:$B$103,$A102))</f>
        <v/>
      </c>
      <c r="G102" s="9">
        <f>IF(OR($A102="",$B102=""),"",IFERROR($B102-$F102,""))</f>
        <v/>
      </c>
      <c r="H102" s="9">
        <f>IF($A102="","",SUMIFS(Bookings!$K$4:$K$103,Bookings!$B$4:$B$103,$A102))</f>
        <v/>
      </c>
      <c r="I102" s="9">
        <f>IF(OR($A102="",$C102=""),"",IFERROR($C102-$H102,""))</f>
        <v/>
      </c>
      <c r="J102" s="20">
        <f>IF($A102="","",IF(OR($B102="",$C102=""),"Enter capacity",IF(OR(AND($F102&gt;0,$F102&gt;=$B102),AND($H102&gt;0,$H102&gt;=$C102)),"Over capacity",IF(OR(IFERROR($F102/$B102,0)&gt;=Assumptions!$B$7,IFERROR($H102/$C102,0)&gt;=Assumptions!$B$7),"Check near limit","Within capacity"))))</f>
        <v/>
      </c>
    </row>
    <row r="103">
      <c r="A103" s="17" t="n"/>
      <c r="B103" s="19" t="n"/>
      <c r="C103" s="19" t="n"/>
      <c r="D103" s="18" t="n"/>
      <c r="E103" s="18" t="n"/>
      <c r="F103" s="13">
        <f>IF($A103="","",SUMIFS(Bookings!$J$4:$J$103,Bookings!$B$4:$B$103,$A103))</f>
        <v/>
      </c>
      <c r="G103" s="13">
        <f>IF(OR($A103="",$B103=""),"",IFERROR($B103-$F103,""))</f>
        <v/>
      </c>
      <c r="H103" s="13">
        <f>IF($A103="","",SUMIFS(Bookings!$K$4:$K$103,Bookings!$B$4:$B$103,$A103))</f>
        <v/>
      </c>
      <c r="I103" s="13">
        <f>IF(OR($A103="",$C103=""),"",IFERROR($C103-$H103,""))</f>
        <v/>
      </c>
      <c r="J103" s="21">
        <f>IF($A103="","",IF(OR($B103="",$C103=""),"Enter capacity",IF(OR(AND($F103&gt;0,$F103&gt;=$B103),AND($H103&gt;0,$H103&gt;=$C103)),"Over capacity",IF(OR(IFERROR($F103/$B103,0)&gt;=Assumptions!$B$7,IFERROR($H103/$C103,0)&gt;=Assumptions!$B$7),"Check near limit","Within capacity"))))</f>
        <v/>
      </c>
    </row>
  </sheetData>
  <autoFilter ref="A3:J103"/>
  <mergeCells count="1">
    <mergeCell ref="A1:J1"/>
  </mergeCells>
  <conditionalFormatting sqref="A4:A103">
    <cfRule type="expression" priority="1" dxfId="0">
      <formula>AND($A4&lt;&gt;"",COUNTIF($A$4:$A$103,$A4)&gt;1)</formula>
    </cfRule>
    <cfRule type="expression" priority="2" dxfId="0">
      <formula>AND($A4&lt;&gt;"",WEEKDAY($A4,2)&lt;&gt;1)</formula>
    </cfRule>
  </conditionalFormatting>
  <conditionalFormatting sqref="G4:G103">
    <cfRule type="expression" priority="3" dxfId="0">
      <formula>AND($A4&lt;&gt;"",$G4&lt;0)</formula>
    </cfRule>
  </conditionalFormatting>
  <conditionalFormatting sqref="I4:I103">
    <cfRule type="expression" priority="4" dxfId="0">
      <formula>AND($A4&lt;&gt;"",$I4&lt;0)</formula>
    </cfRule>
  </conditionalFormatting>
  <conditionalFormatting sqref="J4:J103">
    <cfRule type="expression" priority="5" dxfId="2">
      <formula>$J4="Within capacity"</formula>
    </cfRule>
    <cfRule type="expression" priority="6" dxfId="0">
      <formula>$J4="Over capacity"</formula>
    </cfRule>
    <cfRule type="expression" priority="7" dxfId="1">
      <formula>OR($J4="Check near limit",$J4="Enter capacity")</formula>
    </cfRule>
  </conditionalFormatting>
  <dataValidations count="3">
    <dataValidation sqref="A4:A103" showDropDown="0" showInputMessage="0" showErrorMessage="0" allowBlank="0" errorTitle="Date outside planning horizon" error="Enter a date within the prepared planning horizon." promptTitle="Week start" prompt="Enter the Monday that starts the capacity week." type="date" operator="between">
      <formula1>INDIRECT("'Assumptions'!$B$5")</formula1>
      <formula2>INDIRECT("'Assumptions'!$B$5")+7*(INDIRECT("'Assumptions'!$B$8")-1)</formula2>
    </dataValidation>
    <dataValidation sqref="B4:C103" showDropDown="0" showInputMessage="0" showErrorMessage="0" allowBlank="0" errorTitle="Hours outside range" error="Enter zero or a positive number within the maximum hours assumption." type="decimal" operator="between">
      <formula1>0</formula1>
      <formula2>INDIRECT("'Assumptions'!$B$9")</formula2>
    </dataValidation>
    <dataValidation sqref="D4:D103" showDropDown="0" showInputMessage="0" showErrorMessage="0" allowBlank="0" errorTitle="Assignment not listed" error="Choose an assignment from the Assumptions sheet list." type="list">
      <formula1>INDIRECT("'Assumptions'!$F$5:$F$8")</formula1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tabColor rgb="00FFF0C7"/>
    <outlinePr summaryBelow="1" summaryRight="1"/>
    <pageSetUpPr fitToPage="1"/>
  </sheetPr>
  <dimension ref="A1:I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44" customWidth="1" min="2" max="2"/>
    <col width="42" customWidth="1" min="3" max="3"/>
    <col width="21" customWidth="1" min="4" max="4"/>
    <col width="3" customWidth="1" min="5" max="5"/>
    <col width="23" customWidth="1" min="6" max="6"/>
    <col width="3" customWidth="1" min="7" max="7"/>
    <col width="16" customWidth="1" min="8" max="8"/>
    <col width="18" customWidth="1" min="9" max="9"/>
  </cols>
  <sheetData>
    <row r="1" ht="28" customHeight="1">
      <c r="A1" s="1" t="inlineStr">
        <is>
          <t>Planning Assumptions and Lists</t>
        </is>
      </c>
    </row>
    <row r="2" ht="22" customHeight="1">
      <c r="A2" s="2" t="inlineStr">
        <is>
          <t>Yellow cells are editable. Review factors and limits before using the capacity alerts for local planning.</t>
        </is>
      </c>
    </row>
    <row r="3"/>
    <row r="4">
      <c r="A4" s="7" t="inlineStr">
        <is>
          <t>Setting</t>
        </is>
      </c>
      <c r="B4" s="7" t="inlineStr">
        <is>
          <t>Value</t>
        </is>
      </c>
      <c r="C4" s="7" t="inlineStr">
        <is>
          <t>Planning Use</t>
        </is>
      </c>
      <c r="D4" s="7" t="inlineStr">
        <is>
          <t>Service Choices</t>
        </is>
      </c>
      <c r="F4" s="7" t="inlineStr">
        <is>
          <t>Team Choices</t>
        </is>
      </c>
      <c r="H4" s="7" t="inlineStr">
        <is>
          <t>Status</t>
        </is>
      </c>
      <c r="I4" s="7" t="inlineStr">
        <is>
          <t>Forecast Factor</t>
        </is>
      </c>
    </row>
    <row r="5">
      <c r="A5" s="22" t="inlineStr">
        <is>
          <t>Review start date</t>
        </is>
      </c>
      <c r="B5" s="23" t="n">
        <v>46272</v>
      </c>
      <c r="C5" s="22" t="inlineStr">
        <is>
          <t>First Monday shown on Summary</t>
        </is>
      </c>
      <c r="D5" s="18" t="inlineStr">
        <is>
          <t>Grooming</t>
        </is>
      </c>
      <c r="F5" s="18" t="inlineStr">
        <is>
          <t>Fictional Team Maple</t>
        </is>
      </c>
      <c r="H5" s="18" t="inlineStr">
        <is>
          <t>Planned</t>
        </is>
      </c>
      <c r="I5" s="24" t="n">
        <v>1</v>
      </c>
    </row>
    <row r="6">
      <c r="A6" s="22" t="inlineStr">
        <is>
          <t>Weeks to review</t>
        </is>
      </c>
      <c r="B6" s="18" t="n">
        <v>12</v>
      </c>
      <c r="C6" s="22" t="inlineStr">
        <is>
          <t>Number of weekly rows shown on Summary</t>
        </is>
      </c>
      <c r="D6" s="18" t="inlineStr">
        <is>
          <t>Boarding Care</t>
        </is>
      </c>
      <c r="F6" s="18" t="inlineStr">
        <is>
          <t>Fictional Team Cedar</t>
        </is>
      </c>
      <c r="H6" s="18" t="inlineStr">
        <is>
          <t>Confirmed</t>
        </is>
      </c>
      <c r="I6" s="24" t="n">
        <v>1</v>
      </c>
    </row>
    <row r="7">
      <c r="A7" s="22" t="inlineStr">
        <is>
          <t>Near-limit threshold</t>
        </is>
      </c>
      <c r="B7" s="24" t="n">
        <v>0.9</v>
      </c>
      <c r="C7" s="22" t="inlineStr">
        <is>
          <t>Utilization level that prompts a human check</t>
        </is>
      </c>
      <c r="D7" s="18" t="inlineStr">
        <is>
          <t>Daycare</t>
        </is>
      </c>
      <c r="F7" s="18" t="inlineStr">
        <is>
          <t>Fictional Team Birch</t>
        </is>
      </c>
      <c r="H7" s="18" t="inlineStr">
        <is>
          <t>On Hold</t>
        </is>
      </c>
      <c r="I7" s="24" t="n">
        <v>0.5</v>
      </c>
    </row>
    <row r="8">
      <c r="A8" s="22" t="inlineStr">
        <is>
          <t>Prepared horizon in weeks</t>
        </is>
      </c>
      <c r="B8" s="18" t="n">
        <v>100</v>
      </c>
      <c r="C8" s="22" t="inlineStr">
        <is>
          <t>Date validation horizon for prepared input rows</t>
        </is>
      </c>
      <c r="D8" s="18" t="inlineStr">
        <is>
          <t>Pet Sitting</t>
        </is>
      </c>
      <c r="F8" s="18" t="inlineStr">
        <is>
          <t>Unassigned</t>
        </is>
      </c>
      <c r="H8" s="18" t="inlineStr">
        <is>
          <t>Canceled</t>
        </is>
      </c>
      <c r="I8" s="24" t="n">
        <v>0</v>
      </c>
    </row>
    <row r="9">
      <c r="A9" s="22" t="inlineStr">
        <is>
          <t>Maximum hours per entry</t>
        </is>
      </c>
      <c r="B9" s="25" t="n">
        <v>1000</v>
      </c>
      <c r="C9" s="22" t="inlineStr">
        <is>
          <t>Upper input check for forecast and capacity hours</t>
        </is>
      </c>
      <c r="D9" s="18" t="inlineStr">
        <is>
          <t>Dog Walking</t>
        </is>
      </c>
    </row>
    <row r="10"/>
    <row r="11">
      <c r="A11" s="26" t="inlineStr">
        <is>
          <t>Planning Field</t>
        </is>
      </c>
      <c r="B11" s="26" t="inlineStr">
        <is>
          <t>Meaning</t>
        </is>
      </c>
    </row>
    <row r="12">
      <c r="A12" s="20" t="inlineStr">
        <is>
          <t>Forecast staff hours</t>
        </is>
      </c>
      <c r="B12" s="20" t="inlineStr">
        <is>
          <t>Estimated labor hours needed for the booking week.</t>
        </is>
      </c>
    </row>
    <row r="13">
      <c r="A13" s="21" t="inlineStr">
        <is>
          <t>Forecast facility hours</t>
        </is>
      </c>
      <c r="B13" s="21" t="inlineStr">
        <is>
          <t>Estimated occupied pet-space hours for the booking week.</t>
        </is>
      </c>
    </row>
    <row r="14">
      <c r="A14" s="20" t="inlineStr">
        <is>
          <t>Headroom</t>
        </is>
      </c>
      <c r="B14" s="20" t="inlineStr">
        <is>
          <t>Available hours minus counted booking hours.</t>
        </is>
      </c>
    </row>
    <row r="15">
      <c r="A15" s="21" t="inlineStr">
        <is>
          <t>Capacity check</t>
        </is>
      </c>
      <c r="B15" s="21" t="inlineStr">
        <is>
          <t>A prompt to review entered demand and capacity; it is not a guarantee.</t>
        </is>
      </c>
    </row>
  </sheetData>
  <autoFilter ref="A4:C9"/>
  <mergeCells count="1">
    <mergeCell ref="A1:I1"/>
  </mergeCells>
  <dataValidations count="6">
    <dataValidation sqref="B5" showDropDown="0" showInputMessage="0" showErrorMessage="0" allowBlank="0" errorTitle="Invalid review date" error="Enter a valid planning date within the displayed date range." type="date" operator="between">
      <formula1>DATE(2026,1,1)</formula1>
      <formula2>DATE(2036,12,31)</formula2>
    </dataValidation>
    <dataValidation sqref="B6" showDropDown="0" showInputMessage="0" showErrorMessage="0" allowBlank="0" errorTitle="Invalid review length" error="Enter a whole number from 1 through 52." type="whole" operator="between">
      <formula1>1</formula1>
      <formula2>52</formula2>
    </dataValidation>
    <dataValidation sqref="B7" showDropDown="0" showInputMessage="0" showErrorMessage="0" allowBlank="0" errorTitle="Invalid threshold" error="Enter a utilization threshold from 50% through 100%." type="decimal" operator="between">
      <formula1>0.5</formula1>
      <formula2>1</formula2>
    </dataValidation>
    <dataValidation sqref="B8" showDropDown="0" showInputMessage="0" showErrorMessage="0" allowBlank="0" errorTitle="Invalid horizon" error="Enter a prepared horizon from 52 through 100 weeks." type="whole" operator="between">
      <formula1>52</formula1>
      <formula2>100</formula2>
    </dataValidation>
    <dataValidation sqref="B9" showDropDown="0" showInputMessage="0" showErrorMessage="0" allowBlank="0" errorTitle="Invalid maximum" error="Enter a maximum from 1 through 10,000 hours." type="decimal" operator="between">
      <formula1>1</formula1>
      <formula2>10000</formula2>
    </dataValidation>
    <dataValidation sqref="I5:I8" showDropDown="0" showInputMessage="0" showErrorMessage="0" allowBlank="0" errorTitle="Invalid forecast factor" error="Enter a forecast factor from 0% through 100%." type="decimal" operator="between">
      <formula1>0</formula1>
      <formula2>1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Pet Service Planning Example</dc:creator>
  <dc:title xmlns:dc="http://purl.org/dc/elements/1.1/">Pet Service Capacity Planner</dc:title>
  <dc:description xmlns:dc="http://purl.org/dc/elements/1.1/">All sample records are fictional planning examples.</dc:description>
  <dc:subject xmlns:dc="http://purl.org/dc/elements/1.1/">Weekly comparison of forecast booking hours and available capacity</dc:subject>
  <dcterms:created xmlns:dcterms="http://purl.org/dc/terms/" xmlns:xsi="http://www.w3.org/2001/XMLSchema-instance" xsi:type="dcterms:W3CDTF">2026-09-09T18:48:34Z</dcterms:created>
  <dcterms:modified xmlns:dcterms="http://purl.org/dc/terms/" xmlns:xsi="http://www.w3.org/2001/XMLSchema-instance" xsi:type="dcterms:W3CDTF">2026-09-09T18:48:34+00:00Z</dcterms:modified>
</cp:coreProperties>
</file>